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0" windowWidth="17850" windowHeight="11640" activeTab="2"/>
  </bookViews>
  <sheets>
    <sheet name="Data" sheetId="1" r:id="rId1"/>
    <sheet name="delta V" sheetId="2" r:id="rId2"/>
    <sheet name="Transit Time" sheetId="3" r:id="rId3"/>
  </sheets>
  <definedNames>
    <definedName name="G">'Data'!$B$2</definedName>
    <definedName name="GM_primary">'Data'!$B$4</definedName>
    <definedName name="orbit01">'delta V'!$B$4</definedName>
    <definedName name="orbit02">'delta V'!$C$5</definedName>
    <definedName name="orbit03">'delta V'!$D$6</definedName>
    <definedName name="orbit04">'delta V'!$E$7</definedName>
    <definedName name="orbit05">'delta V'!$F$8</definedName>
    <definedName name="orbit06">'delta V'!$G$9</definedName>
    <definedName name="orbit07">'delta V'!$H$10</definedName>
    <definedName name="orbit08">'delta V'!$I$11</definedName>
    <definedName name="orbit09">'delta V'!$J$12</definedName>
    <definedName name="orbit10">'delta V'!$K$13</definedName>
    <definedName name="orbit11">'delta V'!$L$14</definedName>
    <definedName name="orbit12">'delta V'!$M$15</definedName>
    <definedName name="orbit13">'delta V'!$N$16</definedName>
    <definedName name="orbit14">'delta V'!$O$17</definedName>
    <definedName name="orbit15">'delta V'!$P$18</definedName>
    <definedName name="orbit16">'delta V'!$Q$19</definedName>
    <definedName name="orbit17">'delta V'!$R$20</definedName>
    <definedName name="orbit18">'delta V'!$S$21</definedName>
    <definedName name="orbit19">'delta V'!$T$22</definedName>
    <definedName name="orbit20">'delta V'!$U$23</definedName>
    <definedName name="orbit21">'delta V'!$V$24</definedName>
    <definedName name="orbit22">'delta V'!$W$25</definedName>
    <definedName name="orbit23">'delta V'!$X$26</definedName>
    <definedName name="orbit24">'delta V'!$Y$27</definedName>
    <definedName name="orbit25">'delta V'!$Z$28</definedName>
    <definedName name="orbit26">'delta V'!$AA$29</definedName>
    <definedName name="orbit27">'delta V'!$AB$30</definedName>
    <definedName name="orbit28">'delta V'!$AC$31</definedName>
    <definedName name="orbit29">'delta V'!$AD$32</definedName>
    <definedName name="orbit30">'delta V'!$AE$33</definedName>
    <definedName name="Time_scale">'Transit Time'!$A$36</definedName>
  </definedNames>
  <calcPr fullCalcOnLoad="1"/>
</workbook>
</file>

<file path=xl/sharedStrings.xml><?xml version="1.0" encoding="utf-8"?>
<sst xmlns="http://schemas.openxmlformats.org/spreadsheetml/2006/main" count="73" uniqueCount="66">
  <si>
    <t>Mass(kg)</t>
  </si>
  <si>
    <t>Radius(m)</t>
  </si>
  <si>
    <t>TU(s)</t>
  </si>
  <si>
    <t>Semi-Major Axis(m)</t>
  </si>
  <si>
    <t>Name</t>
  </si>
  <si>
    <t>Orbital Period(s)</t>
  </si>
  <si>
    <t>Orbital Velocity(km/s)</t>
  </si>
  <si>
    <t>Mass Primary (kg) =</t>
  </si>
  <si>
    <t>Those Pesky Belters and Their Torchships</t>
  </si>
  <si>
    <t>Newton's G =</t>
  </si>
  <si>
    <t>GM of primary =</t>
  </si>
  <si>
    <t>Synodic Periods and Transit Times for Hohmann Travel</t>
  </si>
  <si>
    <r>
      <t>TIME SCALE:</t>
    </r>
    <r>
      <rPr>
        <sz val="10"/>
        <rFont val="Arial"/>
        <family val="0"/>
      </rPr>
      <t xml:space="preserve"> input </t>
    </r>
    <r>
      <rPr>
        <b/>
        <sz val="10"/>
        <color indexed="10"/>
        <rFont val="Arial"/>
        <family val="2"/>
      </rPr>
      <t>1</t>
    </r>
    <r>
      <rPr>
        <sz val="10"/>
        <color indexed="10"/>
        <rFont val="Arial"/>
        <family val="2"/>
      </rPr>
      <t xml:space="preserve"> for </t>
    </r>
    <r>
      <rPr>
        <b/>
        <i/>
        <sz val="10"/>
        <color indexed="10"/>
        <rFont val="Arial"/>
        <family val="2"/>
      </rPr>
      <t>seconds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60</t>
    </r>
    <r>
      <rPr>
        <sz val="10"/>
        <color indexed="53"/>
        <rFont val="Arial"/>
        <family val="2"/>
      </rPr>
      <t xml:space="preserve"> for </t>
    </r>
    <r>
      <rPr>
        <b/>
        <i/>
        <sz val="10"/>
        <color indexed="53"/>
        <rFont val="Arial"/>
        <family val="2"/>
      </rPr>
      <t>minutes</t>
    </r>
    <r>
      <rPr>
        <sz val="10"/>
        <rFont val="Arial"/>
        <family val="0"/>
      </rPr>
      <t xml:space="preserve">, </t>
    </r>
    <r>
      <rPr>
        <b/>
        <sz val="10"/>
        <color indexed="52"/>
        <rFont val="Arial"/>
        <family val="2"/>
      </rPr>
      <t>3600</t>
    </r>
    <r>
      <rPr>
        <sz val="10"/>
        <color indexed="52"/>
        <rFont val="Arial"/>
        <family val="2"/>
      </rPr>
      <t xml:space="preserve"> for </t>
    </r>
    <r>
      <rPr>
        <b/>
        <i/>
        <sz val="10"/>
        <color indexed="52"/>
        <rFont val="Arial"/>
        <family val="2"/>
      </rPr>
      <t>hours</t>
    </r>
    <r>
      <rPr>
        <sz val="10"/>
        <rFont val="Arial"/>
        <family val="0"/>
      </rPr>
      <t xml:space="preserve">, </t>
    </r>
    <r>
      <rPr>
        <b/>
        <sz val="10"/>
        <color indexed="17"/>
        <rFont val="Arial"/>
        <family val="2"/>
      </rPr>
      <t>86400</t>
    </r>
    <r>
      <rPr>
        <sz val="10"/>
        <color indexed="17"/>
        <rFont val="Arial"/>
        <family val="2"/>
      </rPr>
      <t xml:space="preserve"> for </t>
    </r>
    <r>
      <rPr>
        <b/>
        <i/>
        <sz val="10"/>
        <color indexed="17"/>
        <rFont val="Arial"/>
        <family val="2"/>
      </rPr>
      <t>days</t>
    </r>
    <r>
      <rPr>
        <sz val="10"/>
        <rFont val="Arial"/>
        <family val="0"/>
      </rPr>
      <t xml:space="preserve">, </t>
    </r>
    <r>
      <rPr>
        <b/>
        <sz val="10"/>
        <color indexed="12"/>
        <rFont val="Arial"/>
        <family val="2"/>
      </rPr>
      <t>2592000</t>
    </r>
    <r>
      <rPr>
        <sz val="10"/>
        <color indexed="12"/>
        <rFont val="Arial"/>
        <family val="2"/>
      </rPr>
      <t xml:space="preserve"> for (30 day) </t>
    </r>
    <r>
      <rPr>
        <b/>
        <i/>
        <sz val="10"/>
        <color indexed="12"/>
        <rFont val="Arial"/>
        <family val="2"/>
      </rPr>
      <t>months</t>
    </r>
    <r>
      <rPr>
        <sz val="10"/>
        <rFont val="Arial"/>
        <family val="0"/>
      </rPr>
      <t xml:space="preserve">, or </t>
    </r>
    <r>
      <rPr>
        <b/>
        <sz val="10"/>
        <color indexed="20"/>
        <rFont val="Arial"/>
        <family val="2"/>
      </rPr>
      <t>31536000</t>
    </r>
    <r>
      <rPr>
        <sz val="10"/>
        <color indexed="20"/>
        <rFont val="Arial"/>
        <family val="2"/>
      </rPr>
      <t xml:space="preserve"> for </t>
    </r>
    <r>
      <rPr>
        <b/>
        <i/>
        <sz val="10"/>
        <color indexed="20"/>
        <rFont val="Arial"/>
        <family val="2"/>
      </rPr>
      <t>years</t>
    </r>
  </si>
  <si>
    <t>Transit times are below the diagonal in blue.</t>
  </si>
  <si>
    <t>Orbital Period(d)</t>
  </si>
  <si>
    <t>Delta V required for travel through the system</t>
  </si>
  <si>
    <t>Values below the diagonal in blue are delta V's needed to go from orbit around one satellite to orbit around the other, landing on neither.</t>
  </si>
  <si>
    <t>Values above the diagonal in green are delta V's needed to go from the surface of one satellite to the surface of the other, taking off and landing.</t>
  </si>
  <si>
    <r>
      <t xml:space="preserve">All values are in </t>
    </r>
    <r>
      <rPr>
        <i/>
        <sz val="10"/>
        <rFont val="Arial"/>
        <family val="2"/>
      </rPr>
      <t>kilometers per second (km/s)</t>
    </r>
    <r>
      <rPr>
        <sz val="10"/>
        <rFont val="Arial"/>
        <family val="0"/>
      </rPr>
      <t>.</t>
    </r>
  </si>
  <si>
    <r>
      <t>IMPORTANT</t>
    </r>
    <r>
      <rPr>
        <b/>
        <sz val="10"/>
        <rFont val="Arial"/>
        <family val="2"/>
      </rPr>
      <t>:</t>
    </r>
    <r>
      <rPr>
        <sz val="10"/>
        <rFont val="Arial"/>
        <family val="0"/>
      </rPr>
      <t xml:space="preserve"> Start with object closest to primary and input in order of increasing semi-major axis.</t>
    </r>
  </si>
  <si>
    <t>Orbital Period, Orbital Velocity and TU will calculate, and Sheet 2 &amp; 3 will fill with the desired data.</t>
  </si>
  <si>
    <r>
      <t>Input the mass of the Primary in kilograms (</t>
    </r>
    <r>
      <rPr>
        <i/>
        <sz val="10"/>
        <rFont val="Arial"/>
        <family val="2"/>
      </rPr>
      <t xml:space="preserve">i.e, </t>
    </r>
    <r>
      <rPr>
        <sz val="10"/>
        <rFont val="Arial"/>
        <family val="0"/>
      </rPr>
      <t>the Sun, Jupiter, etc.)</t>
    </r>
  </si>
  <si>
    <t>Input the mass in kilograms, radius of object in meters, and semi-major axis of orbit in meters of all desired objects around the Primary</t>
  </si>
  <si>
    <r>
      <t>Synodic periods (</t>
    </r>
    <r>
      <rPr>
        <i/>
        <sz val="10"/>
        <color indexed="17"/>
        <rFont val="Arial"/>
        <family val="2"/>
      </rPr>
      <t>i.e.,</t>
    </r>
    <r>
      <rPr>
        <sz val="10"/>
        <color indexed="17"/>
        <rFont val="Arial"/>
        <family val="2"/>
      </rPr>
      <t xml:space="preserve"> Hohmann launch windows) are above the diagonal in green.</t>
    </r>
  </si>
  <si>
    <t>Diagonal values in gold are delta V's needed to take off from the surface of a satellite and go into circular orbit around it, or to land from a circular orbit.</t>
  </si>
  <si>
    <t>Saturn</t>
  </si>
  <si>
    <t>Pan (SXVIII)</t>
  </si>
  <si>
    <t>Atlas (SXV)</t>
  </si>
  <si>
    <t>Prometheus (SXVI)</t>
  </si>
  <si>
    <t>Pandora (SXVII)</t>
  </si>
  <si>
    <t>Epimetheus (SXI)</t>
  </si>
  <si>
    <t>Janus (SX)</t>
  </si>
  <si>
    <t>Mimas (SI)</t>
  </si>
  <si>
    <t>Enceladus (SII)</t>
  </si>
  <si>
    <t>Calypso (SXIV)</t>
  </si>
  <si>
    <t>Tethys (SIII)</t>
  </si>
  <si>
    <t>Telesto (SXIII)</t>
  </si>
  <si>
    <t>Dione (SIV)</t>
  </si>
  <si>
    <t>Helene (SXII)</t>
  </si>
  <si>
    <t>Rhea (SV)</t>
  </si>
  <si>
    <t>Titan (SVI)</t>
  </si>
  <si>
    <t>Hyperion (SVII)</t>
  </si>
  <si>
    <t>Iapetus (SVIII)</t>
  </si>
  <si>
    <t>S/2000 S 5</t>
  </si>
  <si>
    <t>S/2000 S 6</t>
  </si>
  <si>
    <t>S/2000 S 2</t>
  </si>
  <si>
    <t>S/2000 S 8</t>
  </si>
  <si>
    <t>S/2000 S 11</t>
  </si>
  <si>
    <t>S/2000 S 10</t>
  </si>
  <si>
    <t>S/2000 S 3</t>
  </si>
  <si>
    <t>S/2000 S 4</t>
  </si>
  <si>
    <t>S/2000 S 9</t>
  </si>
  <si>
    <t>S/2000 S 12</t>
  </si>
  <si>
    <t>S/2000 S 7</t>
  </si>
  <si>
    <t>S/2000 S 1</t>
  </si>
  <si>
    <t>For the radius of lesser satellites, the arithmatic mean of length, breath, and height is used.</t>
  </si>
  <si>
    <t>Phoebe (S IX)</t>
  </si>
  <si>
    <t>Retrograde</t>
  </si>
  <si>
    <t>Mass values in yellow above are estimates based on a density of 1000 kg/m^3</t>
  </si>
  <si>
    <t>Tethys' leading Lagrange point</t>
  </si>
  <si>
    <t>Tethys' trailing Lagrange point</t>
  </si>
  <si>
    <t>Dione's leading Lagrange point</t>
  </si>
  <si>
    <t>Co-orbital with Janus</t>
  </si>
  <si>
    <t>Co-orbital with Epimetheus</t>
  </si>
  <si>
    <r>
      <t>WARNING:</t>
    </r>
    <r>
      <rPr>
        <sz val="10"/>
        <rFont val="Arial"/>
        <family val="0"/>
      </rPr>
      <t xml:space="preserve"> these values do not take orbital inclination into account.</t>
    </r>
  </si>
  <si>
    <r>
      <t>WARNING:</t>
    </r>
    <r>
      <rPr>
        <sz val="10"/>
        <rFont val="Arial"/>
        <family val="0"/>
      </rPr>
      <t xml:space="preserve"> these values do not take retrograde orbits into account.Such orbits are flagged with </t>
    </r>
    <r>
      <rPr>
        <b/>
        <sz val="10"/>
        <rFont val="Arial"/>
        <family val="2"/>
      </rPr>
      <t>#NUM!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</si>
</sst>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0.000E+00"/>
    <numFmt numFmtId="166" formatCode="0.000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i/>
      <sz val="10"/>
      <color indexed="5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i/>
      <sz val="10"/>
      <color indexed="5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i/>
      <sz val="10"/>
      <color indexed="20"/>
      <name val="Arial"/>
      <family val="2"/>
    </font>
    <font>
      <i/>
      <sz val="10"/>
      <color indexed="17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0" borderId="0" xfId="0" applyFill="1" applyBorder="1" applyAlignment="1">
      <alignment/>
    </xf>
    <xf numFmtId="11" fontId="0" fillId="0" borderId="0" xfId="0" applyNumberFormat="1" applyFill="1" applyBorder="1" applyAlignment="1">
      <alignment/>
    </xf>
    <xf numFmtId="0" fontId="2" fillId="0" borderId="0" xfId="0" applyFont="1" applyAlignment="1">
      <alignment/>
    </xf>
    <xf numFmtId="0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Fill="1" applyBorder="1" applyAlignment="1">
      <alignment/>
    </xf>
    <xf numFmtId="0" fontId="0" fillId="4" borderId="3" xfId="0" applyNumberForma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6" borderId="5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2" fontId="0" fillId="4" borderId="3" xfId="0" applyNumberFormat="1" applyFill="1" applyBorder="1" applyAlignment="1">
      <alignment/>
    </xf>
    <xf numFmtId="2" fontId="0" fillId="0" borderId="3" xfId="0" applyNumberFormat="1" applyFill="1" applyBorder="1" applyAlignment="1">
      <alignment/>
    </xf>
    <xf numFmtId="0" fontId="1" fillId="3" borderId="6" xfId="0" applyFont="1" applyFill="1" applyBorder="1" applyAlignment="1">
      <alignment/>
    </xf>
    <xf numFmtId="2" fontId="0" fillId="7" borderId="5" xfId="0" applyNumberFormat="1" applyFill="1" applyBorder="1" applyAlignment="1">
      <alignment/>
    </xf>
    <xf numFmtId="2" fontId="0" fillId="8" borderId="5" xfId="0" applyNumberFormat="1" applyFill="1" applyBorder="1" applyAlignment="1">
      <alignment/>
    </xf>
    <xf numFmtId="2" fontId="0" fillId="9" borderId="5" xfId="0" applyNumberFormat="1" applyFill="1" applyBorder="1" applyAlignment="1">
      <alignment/>
    </xf>
    <xf numFmtId="2" fontId="0" fillId="10" borderId="5" xfId="0" applyNumberFormat="1" applyFill="1" applyBorder="1" applyAlignment="1">
      <alignment/>
    </xf>
    <xf numFmtId="2" fontId="0" fillId="11" borderId="5" xfId="0" applyNumberFormat="1" applyFill="1" applyBorder="1" applyAlignment="1">
      <alignment/>
    </xf>
    <xf numFmtId="2" fontId="4" fillId="11" borderId="5" xfId="0" applyNumberFormat="1" applyFont="1" applyFill="1" applyBorder="1" applyAlignment="1">
      <alignment/>
    </xf>
    <xf numFmtId="11" fontId="0" fillId="6" borderId="5" xfId="0" applyNumberFormat="1" applyFill="1" applyBorder="1" applyAlignment="1">
      <alignment/>
    </xf>
    <xf numFmtId="164" fontId="0" fillId="2" borderId="3" xfId="0" applyNumberFormat="1" applyFill="1" applyBorder="1" applyAlignment="1">
      <alignment/>
    </xf>
    <xf numFmtId="164" fontId="0" fillId="6" borderId="5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65" fontId="0" fillId="2" borderId="3" xfId="0" applyNumberFormat="1" applyFill="1" applyBorder="1" applyAlignment="1">
      <alignment/>
    </xf>
    <xf numFmtId="165" fontId="0" fillId="6" borderId="5" xfId="0" applyNumberFormat="1" applyFill="1" applyBorder="1" applyAlignment="1">
      <alignment/>
    </xf>
    <xf numFmtId="165" fontId="0" fillId="2" borderId="5" xfId="0" applyNumberFormat="1" applyFill="1" applyBorder="1" applyAlignment="1">
      <alignment/>
    </xf>
    <xf numFmtId="0" fontId="5" fillId="0" borderId="0" xfId="0" applyFont="1" applyAlignment="1">
      <alignment/>
    </xf>
    <xf numFmtId="166" fontId="0" fillId="3" borderId="5" xfId="0" applyNumberFormat="1" applyFill="1" applyBorder="1" applyAlignment="1">
      <alignment/>
    </xf>
    <xf numFmtId="166" fontId="0" fillId="7" borderId="5" xfId="0" applyNumberFormat="1" applyFill="1" applyBorder="1" applyAlignment="1">
      <alignment/>
    </xf>
    <xf numFmtId="166" fontId="0" fillId="8" borderId="5" xfId="0" applyNumberFormat="1" applyFill="1" applyBorder="1" applyAlignment="1">
      <alignment/>
    </xf>
    <xf numFmtId="166" fontId="0" fillId="9" borderId="5" xfId="0" applyNumberFormat="1" applyFill="1" applyBorder="1" applyAlignment="1">
      <alignment/>
    </xf>
    <xf numFmtId="166" fontId="0" fillId="10" borderId="5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165" fontId="0" fillId="12" borderId="5" xfId="0" applyNumberFormat="1" applyFill="1" applyBorder="1" applyAlignment="1">
      <alignment/>
    </xf>
    <xf numFmtId="165" fontId="0" fillId="5" borderId="5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D37" sqref="D37"/>
    </sheetView>
  </sheetViews>
  <sheetFormatPr defaultColWidth="9.140625" defaultRowHeight="12.75"/>
  <cols>
    <col min="1" max="1" width="19.00390625" style="0" customWidth="1"/>
    <col min="2" max="2" width="10.421875" style="0" bestFit="1" customWidth="1"/>
    <col min="3" max="3" width="10.8515625" style="0" customWidth="1"/>
    <col min="4" max="4" width="19.00390625" style="0" customWidth="1"/>
    <col min="5" max="6" width="14.140625" style="0" customWidth="1"/>
    <col min="7" max="7" width="18.8515625" style="0" customWidth="1"/>
  </cols>
  <sheetData>
    <row r="1" ht="15.75">
      <c r="D1" s="8" t="s">
        <v>8</v>
      </c>
    </row>
    <row r="2" spans="1:4" ht="12.75">
      <c r="A2" s="3" t="s">
        <v>9</v>
      </c>
      <c r="B2">
        <v>6.673E-11</v>
      </c>
      <c r="D2" t="s">
        <v>21</v>
      </c>
    </row>
    <row r="3" spans="1:4" ht="12.75">
      <c r="A3" s="45" t="s">
        <v>7</v>
      </c>
      <c r="B3" s="32">
        <v>5.6846E+26</v>
      </c>
      <c r="C3" t="s">
        <v>25</v>
      </c>
      <c r="D3" t="s">
        <v>22</v>
      </c>
    </row>
    <row r="4" spans="1:4" ht="12.75">
      <c r="A4" t="s">
        <v>10</v>
      </c>
      <c r="B4" s="7">
        <f>G*B3</f>
        <v>37933335800000000</v>
      </c>
      <c r="D4" s="39" t="s">
        <v>19</v>
      </c>
    </row>
    <row r="5" ht="13.5" thickBot="1">
      <c r="D5" t="s">
        <v>20</v>
      </c>
    </row>
    <row r="6" spans="1:8" ht="13.5" thickBot="1">
      <c r="A6" s="25" t="s">
        <v>4</v>
      </c>
      <c r="B6" s="4" t="s">
        <v>0</v>
      </c>
      <c r="C6" s="4" t="s">
        <v>1</v>
      </c>
      <c r="D6" s="5" t="s">
        <v>3</v>
      </c>
      <c r="E6" s="16" t="s">
        <v>5</v>
      </c>
      <c r="F6" s="16" t="s">
        <v>14</v>
      </c>
      <c r="G6" s="16" t="s">
        <v>6</v>
      </c>
      <c r="H6" s="16" t="s">
        <v>2</v>
      </c>
    </row>
    <row r="7" spans="1:8" ht="12.75">
      <c r="A7" s="18" t="s">
        <v>26</v>
      </c>
      <c r="B7" s="36">
        <v>3000000000000000</v>
      </c>
      <c r="C7" s="36">
        <v>10000</v>
      </c>
      <c r="D7" s="33">
        <v>133583000</v>
      </c>
      <c r="E7" s="13">
        <f aca="true" t="shared" si="0" ref="E7:E36">2*PI()/SQRT(GM_primary/D7^3)</f>
        <v>49807.66008345221</v>
      </c>
      <c r="F7" s="23">
        <f aca="true" t="shared" si="1" ref="F7:F36">E7/86400</f>
        <v>0.5764775472621784</v>
      </c>
      <c r="G7" s="23">
        <f aca="true" t="shared" si="2" ref="G7:G36">SQRT(GM_primary/D7)/1000</f>
        <v>16.851358636054925</v>
      </c>
      <c r="H7" s="14">
        <f aca="true" t="shared" si="3" ref="H7:H36">(D7/1000)/G7</f>
        <v>7927.135306122304</v>
      </c>
    </row>
    <row r="8" spans="1:10" ht="12.75">
      <c r="A8" s="17" t="s">
        <v>27</v>
      </c>
      <c r="B8" s="37">
        <v>10000000000000000</v>
      </c>
      <c r="C8" s="37">
        <v>16400</v>
      </c>
      <c r="D8" s="34">
        <v>137670000</v>
      </c>
      <c r="E8" s="9">
        <f t="shared" si="0"/>
        <v>52110.869440935305</v>
      </c>
      <c r="F8" s="24">
        <f t="shared" si="1"/>
        <v>0.6031350629737883</v>
      </c>
      <c r="G8" s="24">
        <f t="shared" si="2"/>
        <v>16.599341567690573</v>
      </c>
      <c r="H8" s="10">
        <f t="shared" si="3"/>
        <v>8293.702460341245</v>
      </c>
      <c r="J8" s="39"/>
    </row>
    <row r="9" spans="1:8" ht="12.75">
      <c r="A9" s="18" t="s">
        <v>28</v>
      </c>
      <c r="B9" s="38">
        <v>3.3E+17</v>
      </c>
      <c r="C9" s="38">
        <v>53000</v>
      </c>
      <c r="D9" s="35">
        <v>139353000</v>
      </c>
      <c r="E9" s="13">
        <f t="shared" si="0"/>
        <v>53069.35808962116</v>
      </c>
      <c r="F9" s="23">
        <f t="shared" si="1"/>
        <v>0.6142286815928375</v>
      </c>
      <c r="G9" s="23">
        <f t="shared" si="2"/>
        <v>16.498799940876527</v>
      </c>
      <c r="H9" s="14">
        <f t="shared" si="3"/>
        <v>8446.250666677071</v>
      </c>
    </row>
    <row r="10" spans="1:8" ht="12.75">
      <c r="A10" s="17" t="s">
        <v>29</v>
      </c>
      <c r="B10" s="37">
        <v>2E+17</v>
      </c>
      <c r="C10" s="37">
        <v>43000</v>
      </c>
      <c r="D10" s="34">
        <v>141700000</v>
      </c>
      <c r="E10" s="9">
        <f t="shared" si="0"/>
        <v>54415.688179427496</v>
      </c>
      <c r="F10" s="24">
        <f t="shared" si="1"/>
        <v>0.6298112057804108</v>
      </c>
      <c r="G10" s="24">
        <f t="shared" si="2"/>
        <v>16.361593279710583</v>
      </c>
      <c r="H10" s="10">
        <f t="shared" si="3"/>
        <v>8660.525755503104</v>
      </c>
    </row>
    <row r="11" spans="1:9" ht="12.75">
      <c r="A11" s="18" t="s">
        <v>30</v>
      </c>
      <c r="B11" s="38">
        <v>5.4E+17</v>
      </c>
      <c r="C11" s="38">
        <v>60000</v>
      </c>
      <c r="D11" s="35">
        <v>151422000</v>
      </c>
      <c r="E11" s="13">
        <f t="shared" si="0"/>
        <v>60110.84287831238</v>
      </c>
      <c r="F11" s="23">
        <f t="shared" si="1"/>
        <v>0.6957273481286155</v>
      </c>
      <c r="G11" s="23">
        <f t="shared" si="2"/>
        <v>15.827635082571952</v>
      </c>
      <c r="H11" s="14">
        <f t="shared" si="3"/>
        <v>9566.937777503668</v>
      </c>
      <c r="I11" t="s">
        <v>62</v>
      </c>
    </row>
    <row r="12" spans="1:9" ht="12.75">
      <c r="A12" s="17" t="s">
        <v>31</v>
      </c>
      <c r="B12" s="37">
        <v>1.92E+18</v>
      </c>
      <c r="C12" s="37">
        <v>90000</v>
      </c>
      <c r="D12" s="34">
        <v>151472000</v>
      </c>
      <c r="E12" s="9">
        <f t="shared" si="0"/>
        <v>60140.61850774564</v>
      </c>
      <c r="F12" s="24">
        <f t="shared" si="1"/>
        <v>0.6960719734692782</v>
      </c>
      <c r="G12" s="24">
        <f t="shared" si="2"/>
        <v>15.825022563187165</v>
      </c>
      <c r="H12" s="10">
        <f t="shared" si="3"/>
        <v>9571.676716111644</v>
      </c>
      <c r="I12" t="s">
        <v>63</v>
      </c>
    </row>
    <row r="13" spans="1:8" ht="12.75">
      <c r="A13" s="18" t="s">
        <v>32</v>
      </c>
      <c r="B13" s="38">
        <v>3.75E+19</v>
      </c>
      <c r="C13" s="38">
        <v>199000</v>
      </c>
      <c r="D13" s="35">
        <v>185520000</v>
      </c>
      <c r="E13" s="13">
        <f t="shared" si="0"/>
        <v>81518.36377954656</v>
      </c>
      <c r="F13" s="23">
        <f t="shared" si="1"/>
        <v>0.9434995807817889</v>
      </c>
      <c r="G13" s="23">
        <f t="shared" si="2"/>
        <v>14.299312254847132</v>
      </c>
      <c r="H13" s="14">
        <f t="shared" si="3"/>
        <v>12974.050548278157</v>
      </c>
    </row>
    <row r="14" spans="1:8" ht="12.75">
      <c r="A14" s="17" t="s">
        <v>33</v>
      </c>
      <c r="B14" s="37">
        <v>6.5E+19</v>
      </c>
      <c r="C14" s="37">
        <v>249000</v>
      </c>
      <c r="D14" s="34">
        <v>238020000</v>
      </c>
      <c r="E14" s="9">
        <f t="shared" si="0"/>
        <v>118464.85490724132</v>
      </c>
      <c r="F14" s="24">
        <f t="shared" si="1"/>
        <v>1.3711210058708485</v>
      </c>
      <c r="G14" s="24">
        <f t="shared" si="2"/>
        <v>12.62419785164038</v>
      </c>
      <c r="H14" s="10">
        <f t="shared" si="3"/>
        <v>18854.26724115163</v>
      </c>
    </row>
    <row r="15" spans="1:9" ht="12.75">
      <c r="A15" s="18" t="s">
        <v>34</v>
      </c>
      <c r="B15" s="38">
        <v>4000000000000000</v>
      </c>
      <c r="C15" s="38">
        <v>10000</v>
      </c>
      <c r="D15" s="35">
        <v>294660000</v>
      </c>
      <c r="E15" s="13">
        <f t="shared" si="0"/>
        <v>163174.06293607902</v>
      </c>
      <c r="F15" s="23">
        <f t="shared" si="1"/>
        <v>1.8885886913898036</v>
      </c>
      <c r="G15" s="23">
        <f t="shared" si="2"/>
        <v>11.346186699652113</v>
      </c>
      <c r="H15" s="14">
        <f t="shared" si="3"/>
        <v>25969.958700665007</v>
      </c>
      <c r="I15" t="s">
        <v>60</v>
      </c>
    </row>
    <row r="16" spans="1:8" ht="12.75">
      <c r="A16" s="17" t="s">
        <v>35</v>
      </c>
      <c r="B16" s="37">
        <v>6.27E+20</v>
      </c>
      <c r="C16" s="37">
        <v>530000</v>
      </c>
      <c r="D16" s="34">
        <v>294660000</v>
      </c>
      <c r="E16" s="9">
        <f t="shared" si="0"/>
        <v>163174.06293607902</v>
      </c>
      <c r="F16" s="24">
        <f t="shared" si="1"/>
        <v>1.8885886913898036</v>
      </c>
      <c r="G16" s="24">
        <f t="shared" si="2"/>
        <v>11.346186699652113</v>
      </c>
      <c r="H16" s="10">
        <f t="shared" si="3"/>
        <v>25969.958700665007</v>
      </c>
    </row>
    <row r="17" spans="1:9" ht="12.75">
      <c r="A17" s="18" t="s">
        <v>36</v>
      </c>
      <c r="B17" s="38">
        <v>7000000000000000</v>
      </c>
      <c r="C17" s="38">
        <v>12000</v>
      </c>
      <c r="D17" s="35">
        <v>294660000</v>
      </c>
      <c r="E17" s="13">
        <f t="shared" si="0"/>
        <v>163174.06293607902</v>
      </c>
      <c r="F17" s="23">
        <f t="shared" si="1"/>
        <v>1.8885886913898036</v>
      </c>
      <c r="G17" s="23">
        <f t="shared" si="2"/>
        <v>11.346186699652113</v>
      </c>
      <c r="H17" s="14">
        <f t="shared" si="3"/>
        <v>25969.958700665007</v>
      </c>
      <c r="I17" t="s">
        <v>59</v>
      </c>
    </row>
    <row r="18" spans="1:8" ht="12.75">
      <c r="A18" s="17" t="s">
        <v>37</v>
      </c>
      <c r="B18" s="37">
        <v>1.1E+21</v>
      </c>
      <c r="C18" s="37">
        <v>560000</v>
      </c>
      <c r="D18" s="34">
        <v>377400000</v>
      </c>
      <c r="E18" s="9">
        <f t="shared" si="0"/>
        <v>236522.35488575228</v>
      </c>
      <c r="F18" s="24">
        <f t="shared" si="1"/>
        <v>2.737527255622133</v>
      </c>
      <c r="G18" s="24">
        <f t="shared" si="2"/>
        <v>10.025581455397633</v>
      </c>
      <c r="H18" s="10">
        <f t="shared" si="3"/>
        <v>37643.70193180298</v>
      </c>
    </row>
    <row r="19" spans="1:9" ht="12.75">
      <c r="A19" s="18" t="s">
        <v>38</v>
      </c>
      <c r="B19" s="38">
        <v>30000000000000000</v>
      </c>
      <c r="C19" s="38">
        <v>16000</v>
      </c>
      <c r="D19" s="35">
        <v>377400000</v>
      </c>
      <c r="E19" s="13">
        <f t="shared" si="0"/>
        <v>236522.35488575228</v>
      </c>
      <c r="F19" s="23">
        <f t="shared" si="1"/>
        <v>2.737527255622133</v>
      </c>
      <c r="G19" s="23">
        <f t="shared" si="2"/>
        <v>10.025581455397633</v>
      </c>
      <c r="H19" s="14">
        <f t="shared" si="3"/>
        <v>37643.70193180298</v>
      </c>
      <c r="I19" t="s">
        <v>61</v>
      </c>
    </row>
    <row r="20" spans="1:8" ht="12.75">
      <c r="A20" s="17" t="s">
        <v>39</v>
      </c>
      <c r="B20" s="37">
        <v>2.31E+21</v>
      </c>
      <c r="C20" s="37">
        <v>764000</v>
      </c>
      <c r="D20" s="34">
        <v>527040000</v>
      </c>
      <c r="E20" s="9">
        <f t="shared" si="0"/>
        <v>390332.5032698285</v>
      </c>
      <c r="F20" s="24">
        <f t="shared" si="1"/>
        <v>4.517737306363756</v>
      </c>
      <c r="G20" s="24">
        <f t="shared" si="2"/>
        <v>8.483766933461771</v>
      </c>
      <c r="H20" s="10">
        <f t="shared" si="3"/>
        <v>62123.347344826594</v>
      </c>
    </row>
    <row r="21" spans="1:8" ht="12.75">
      <c r="A21" s="18" t="s">
        <v>40</v>
      </c>
      <c r="B21" s="38">
        <v>1.3455E+23</v>
      </c>
      <c r="C21" s="38">
        <v>2575000</v>
      </c>
      <c r="D21" s="35">
        <v>1221830000</v>
      </c>
      <c r="E21" s="13">
        <f t="shared" si="0"/>
        <v>1377797.9271159237</v>
      </c>
      <c r="F21" s="23">
        <f t="shared" si="1"/>
        <v>15.946735267545414</v>
      </c>
      <c r="G21" s="23">
        <f t="shared" si="2"/>
        <v>5.5719232499798315</v>
      </c>
      <c r="H21" s="14">
        <f t="shared" si="3"/>
        <v>219283.35068226623</v>
      </c>
    </row>
    <row r="22" spans="1:8" ht="12.75">
      <c r="A22" s="17" t="s">
        <v>41</v>
      </c>
      <c r="B22" s="37">
        <v>2E+19</v>
      </c>
      <c r="C22" s="37">
        <v>146000</v>
      </c>
      <c r="D22" s="34">
        <v>1481100000</v>
      </c>
      <c r="E22" s="9">
        <f t="shared" si="0"/>
        <v>1838848.3884018832</v>
      </c>
      <c r="F22" s="24">
        <f t="shared" si="1"/>
        <v>21.28296745835513</v>
      </c>
      <c r="G22" s="24">
        <f t="shared" si="2"/>
        <v>5.060790121229853</v>
      </c>
      <c r="H22" s="10">
        <f t="shared" si="3"/>
        <v>292661.81061072514</v>
      </c>
    </row>
    <row r="23" spans="1:8" ht="12.75">
      <c r="A23" s="18" t="s">
        <v>42</v>
      </c>
      <c r="B23" s="38">
        <v>1.59E+21</v>
      </c>
      <c r="C23" s="38">
        <v>718000</v>
      </c>
      <c r="D23" s="35">
        <v>3561300000</v>
      </c>
      <c r="E23" s="13">
        <f t="shared" si="0"/>
        <v>6856179.672108194</v>
      </c>
      <c r="F23" s="23">
        <f t="shared" si="1"/>
        <v>79.35393139014113</v>
      </c>
      <c r="G23" s="23">
        <f t="shared" si="2"/>
        <v>3.2636699889135503</v>
      </c>
      <c r="H23" s="14">
        <f t="shared" si="3"/>
        <v>1091194.8855421895</v>
      </c>
    </row>
    <row r="24" spans="1:8" ht="12.75">
      <c r="A24" s="17" t="s">
        <v>43</v>
      </c>
      <c r="B24" s="50">
        <f>((4/3)*PI()*(C24^3))*1000</f>
        <v>1436755040241732</v>
      </c>
      <c r="C24" s="37">
        <v>7000</v>
      </c>
      <c r="D24" s="34">
        <v>11370000000</v>
      </c>
      <c r="E24" s="9">
        <f t="shared" si="0"/>
        <v>39112002.102325894</v>
      </c>
      <c r="F24" s="24">
        <f t="shared" si="1"/>
        <v>452.68520951766084</v>
      </c>
      <c r="G24" s="24">
        <f t="shared" si="2"/>
        <v>1.8265446180875398</v>
      </c>
      <c r="H24" s="10">
        <f t="shared" si="3"/>
        <v>6224868.468805768</v>
      </c>
    </row>
    <row r="25" spans="1:8" ht="12.75">
      <c r="A25" s="18" t="s">
        <v>44</v>
      </c>
      <c r="B25" s="49">
        <f>((4/3)*PI()*(C25^3))*1000</f>
        <v>523598775598298.8</v>
      </c>
      <c r="C25" s="38">
        <v>5000</v>
      </c>
      <c r="D25" s="35">
        <v>11440000000</v>
      </c>
      <c r="E25" s="13">
        <f t="shared" si="0"/>
        <v>39473750.09009447</v>
      </c>
      <c r="F25" s="23">
        <f t="shared" si="1"/>
        <v>456.8721075242415</v>
      </c>
      <c r="G25" s="23">
        <f t="shared" si="2"/>
        <v>1.8209478387555564</v>
      </c>
      <c r="H25" s="14">
        <f t="shared" si="3"/>
        <v>6282442.449212683</v>
      </c>
    </row>
    <row r="26" spans="1:9" ht="12.75">
      <c r="A26" s="17" t="s">
        <v>56</v>
      </c>
      <c r="B26" s="37">
        <v>7.2E+18</v>
      </c>
      <c r="C26" s="37">
        <v>110</v>
      </c>
      <c r="D26" s="34">
        <v>-12952000000</v>
      </c>
      <c r="E26" s="9" t="e">
        <f t="shared" si="0"/>
        <v>#NUM!</v>
      </c>
      <c r="F26" s="24" t="e">
        <f t="shared" si="1"/>
        <v>#NUM!</v>
      </c>
      <c r="G26" s="24" t="e">
        <f>SQRT(GM_primary/D26)/1000</f>
        <v>#NUM!</v>
      </c>
      <c r="H26" s="10" t="e">
        <f t="shared" si="3"/>
        <v>#NUM!</v>
      </c>
      <c r="I26" t="s">
        <v>57</v>
      </c>
    </row>
    <row r="27" spans="1:8" ht="12.75">
      <c r="A27" s="18" t="s">
        <v>45</v>
      </c>
      <c r="B27" s="49">
        <f>((4/3)*PI()*(C27^3))*1000</f>
        <v>4188790204786390.5</v>
      </c>
      <c r="C27" s="38">
        <v>10000</v>
      </c>
      <c r="D27" s="35">
        <v>15200000000</v>
      </c>
      <c r="E27" s="13">
        <f t="shared" si="0"/>
        <v>60455348.9796857</v>
      </c>
      <c r="F27" s="23">
        <f t="shared" si="1"/>
        <v>699.7146872648808</v>
      </c>
      <c r="G27" s="23">
        <f t="shared" si="2"/>
        <v>1.5797513087091972</v>
      </c>
      <c r="H27" s="14">
        <f t="shared" si="3"/>
        <v>9621767.62646255</v>
      </c>
    </row>
    <row r="28" spans="1:9" ht="12.75">
      <c r="A28" s="17" t="s">
        <v>46</v>
      </c>
      <c r="B28" s="50">
        <f>((4/3)*PI()*(C28^3))*1000</f>
        <v>113097335529232.55</v>
      </c>
      <c r="C28" s="37">
        <v>3000</v>
      </c>
      <c r="D28" s="34">
        <v>-15650000000</v>
      </c>
      <c r="E28" s="9" t="e">
        <f t="shared" si="0"/>
        <v>#NUM!</v>
      </c>
      <c r="F28" s="24" t="e">
        <f t="shared" si="1"/>
        <v>#NUM!</v>
      </c>
      <c r="G28" s="24" t="e">
        <f>SQRT(GM_primary/D28)/1000</f>
        <v>#NUM!</v>
      </c>
      <c r="H28" s="10" t="e">
        <f t="shared" si="3"/>
        <v>#NUM!</v>
      </c>
      <c r="I28" t="s">
        <v>57</v>
      </c>
    </row>
    <row r="29" spans="1:8" ht="12.75">
      <c r="A29" s="18" t="s">
        <v>47</v>
      </c>
      <c r="B29" s="49">
        <f aca="true" t="shared" si="4" ref="B28:B36">((4/3)*PI()*(C29^3))*1000</f>
        <v>9202772079915700</v>
      </c>
      <c r="C29" s="38">
        <v>13000</v>
      </c>
      <c r="D29" s="35">
        <v>16390000000</v>
      </c>
      <c r="E29" s="13">
        <f t="shared" si="0"/>
        <v>67692067.82551402</v>
      </c>
      <c r="F29" s="23">
        <f t="shared" si="1"/>
        <v>783.4730072397456</v>
      </c>
      <c r="G29" s="23">
        <f t="shared" si="2"/>
        <v>1.5213216332838688</v>
      </c>
      <c r="H29" s="14">
        <f t="shared" si="3"/>
        <v>10773527.202542404</v>
      </c>
    </row>
    <row r="30" spans="1:8" ht="12.75">
      <c r="A30" s="17" t="s">
        <v>48</v>
      </c>
      <c r="B30" s="50">
        <f t="shared" si="4"/>
        <v>268082573106328.97</v>
      </c>
      <c r="C30" s="37">
        <v>4000</v>
      </c>
      <c r="D30" s="34">
        <v>17610000000</v>
      </c>
      <c r="E30" s="9">
        <f t="shared" si="0"/>
        <v>75389069.76269898</v>
      </c>
      <c r="F30" s="24">
        <f t="shared" si="1"/>
        <v>872.558677809016</v>
      </c>
      <c r="G30" s="24">
        <f t="shared" si="2"/>
        <v>1.4676781874045408</v>
      </c>
      <c r="H30" s="10">
        <f t="shared" si="3"/>
        <v>11998543.107833283</v>
      </c>
    </row>
    <row r="31" spans="1:8" ht="12.75">
      <c r="A31" s="18" t="s">
        <v>49</v>
      </c>
      <c r="B31" s="49">
        <f t="shared" si="4"/>
        <v>17157284678805054</v>
      </c>
      <c r="C31" s="38">
        <v>16000</v>
      </c>
      <c r="D31" s="35">
        <v>18160000000</v>
      </c>
      <c r="E31" s="13">
        <f t="shared" si="0"/>
        <v>78948360.73412825</v>
      </c>
      <c r="F31" s="23">
        <f t="shared" si="1"/>
        <v>913.7541751635214</v>
      </c>
      <c r="G31" s="23">
        <f t="shared" si="2"/>
        <v>1.4452820060778833</v>
      </c>
      <c r="H31" s="14">
        <f t="shared" si="3"/>
        <v>12565021.859838609</v>
      </c>
    </row>
    <row r="32" spans="1:8" ht="12.75">
      <c r="A32" s="17" t="s">
        <v>50</v>
      </c>
      <c r="B32" s="50">
        <f t="shared" si="4"/>
        <v>1436755040241732</v>
      </c>
      <c r="C32" s="37">
        <v>7000</v>
      </c>
      <c r="D32" s="34">
        <v>18240000000</v>
      </c>
      <c r="E32" s="9">
        <f t="shared" si="0"/>
        <v>79470620.0592499</v>
      </c>
      <c r="F32" s="24">
        <f t="shared" si="1"/>
        <v>919.7988432783552</v>
      </c>
      <c r="G32" s="24">
        <f t="shared" si="2"/>
        <v>1.4421090450472243</v>
      </c>
      <c r="H32" s="10">
        <f t="shared" si="3"/>
        <v>12648142.013007553</v>
      </c>
    </row>
    <row r="33" spans="1:9" ht="12.75">
      <c r="A33" s="18" t="s">
        <v>51</v>
      </c>
      <c r="B33" s="49">
        <f t="shared" si="4"/>
        <v>113097335529232.55</v>
      </c>
      <c r="C33" s="38">
        <v>3000</v>
      </c>
      <c r="D33" s="35">
        <v>-18710000000</v>
      </c>
      <c r="E33" s="13" t="e">
        <f t="shared" si="0"/>
        <v>#NUM!</v>
      </c>
      <c r="F33" s="23" t="e">
        <f t="shared" si="1"/>
        <v>#NUM!</v>
      </c>
      <c r="G33" s="23" t="e">
        <f>SQRT(GM_primary/D33)/1000</f>
        <v>#NUM!</v>
      </c>
      <c r="H33" s="14" t="e">
        <f t="shared" si="3"/>
        <v>#NUM!</v>
      </c>
      <c r="I33" t="s">
        <v>57</v>
      </c>
    </row>
    <row r="34" spans="1:9" ht="12.75">
      <c r="A34" s="17" t="s">
        <v>52</v>
      </c>
      <c r="B34" s="50">
        <f t="shared" si="4"/>
        <v>113097335529232.55</v>
      </c>
      <c r="C34" s="37">
        <v>3000</v>
      </c>
      <c r="D34" s="34">
        <v>-19470000000</v>
      </c>
      <c r="E34" s="9" t="e">
        <f t="shared" si="0"/>
        <v>#NUM!</v>
      </c>
      <c r="F34" s="24" t="e">
        <f t="shared" si="1"/>
        <v>#NUM!</v>
      </c>
      <c r="G34" s="24" t="e">
        <f>SQRT(GM_primary/D34)/1000</f>
        <v>#NUM!</v>
      </c>
      <c r="H34" s="12" t="e">
        <f t="shared" si="3"/>
        <v>#NUM!</v>
      </c>
      <c r="I34" s="6" t="s">
        <v>57</v>
      </c>
    </row>
    <row r="35" spans="1:9" ht="12.75">
      <c r="A35" s="18" t="s">
        <v>53</v>
      </c>
      <c r="B35" s="49">
        <f t="shared" si="4"/>
        <v>113097335529232.55</v>
      </c>
      <c r="C35" s="38">
        <v>3000</v>
      </c>
      <c r="D35" s="35">
        <v>-20470000000</v>
      </c>
      <c r="E35" s="13" t="e">
        <f t="shared" si="0"/>
        <v>#NUM!</v>
      </c>
      <c r="F35" s="23" t="e">
        <f t="shared" si="1"/>
        <v>#NUM!</v>
      </c>
      <c r="G35" s="23" t="e">
        <f>SQRT(GM_primary/D35)/1000</f>
        <v>#NUM!</v>
      </c>
      <c r="H35" s="15" t="e">
        <f t="shared" si="3"/>
        <v>#NUM!</v>
      </c>
      <c r="I35" s="11" t="s">
        <v>57</v>
      </c>
    </row>
    <row r="36" spans="1:11" ht="12.75">
      <c r="A36" s="17" t="s">
        <v>54</v>
      </c>
      <c r="B36" s="50">
        <f t="shared" si="4"/>
        <v>2144660584850631.8</v>
      </c>
      <c r="C36" s="37">
        <v>8000</v>
      </c>
      <c r="D36" s="34">
        <v>-23100000000</v>
      </c>
      <c r="E36" s="9" t="e">
        <f t="shared" si="0"/>
        <v>#NUM!</v>
      </c>
      <c r="F36" s="24" t="e">
        <f t="shared" si="1"/>
        <v>#NUM!</v>
      </c>
      <c r="G36" s="24" t="e">
        <f>SQRT(GM_primary/D36)/1000</f>
        <v>#NUM!</v>
      </c>
      <c r="H36" s="10" t="e">
        <f t="shared" si="3"/>
        <v>#NUM!</v>
      </c>
      <c r="I36" t="s">
        <v>57</v>
      </c>
      <c r="K36" s="6"/>
    </row>
    <row r="38" ht="12.75">
      <c r="B38" t="s">
        <v>55</v>
      </c>
    </row>
    <row r="39" ht="12.75">
      <c r="B39" t="s">
        <v>58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workbookViewId="0" topLeftCell="A2">
      <selection activeCell="B40" sqref="B40:B41"/>
    </sheetView>
  </sheetViews>
  <sheetFormatPr defaultColWidth="9.140625" defaultRowHeight="12.75"/>
  <cols>
    <col min="1" max="1" width="14.421875" style="0" customWidth="1"/>
    <col min="6" max="6" width="11.57421875" style="0" customWidth="1"/>
  </cols>
  <sheetData>
    <row r="1" ht="15.75">
      <c r="B1" s="8" t="s">
        <v>15</v>
      </c>
    </row>
    <row r="3" spans="2:31" ht="12.75">
      <c r="B3" s="3" t="str">
        <f>Data!A7</f>
        <v>Pan (SXVIII)</v>
      </c>
      <c r="C3" s="3" t="str">
        <f>Data!A8</f>
        <v>Atlas (SXV)</v>
      </c>
      <c r="D3" s="3" t="str">
        <f>Data!A9</f>
        <v>Prometheus (SXVI)</v>
      </c>
      <c r="E3" s="3" t="str">
        <f>Data!A10</f>
        <v>Pandora (SXVII)</v>
      </c>
      <c r="F3" s="3" t="str">
        <f>Data!A11</f>
        <v>Epimetheus (SXI)</v>
      </c>
      <c r="G3" s="3" t="str">
        <f>Data!A12</f>
        <v>Janus (SX)</v>
      </c>
      <c r="H3" s="3" t="str">
        <f>Data!A13</f>
        <v>Mimas (SI)</v>
      </c>
      <c r="I3" s="3" t="str">
        <f>Data!A14</f>
        <v>Enceladus (SII)</v>
      </c>
      <c r="J3" s="3" t="str">
        <f>Data!A15</f>
        <v>Calypso (SXIV)</v>
      </c>
      <c r="K3" s="3" t="str">
        <f>Data!A16</f>
        <v>Tethys (SIII)</v>
      </c>
      <c r="L3" s="3" t="str">
        <f>Data!A17</f>
        <v>Telesto (SXIII)</v>
      </c>
      <c r="M3" s="3" t="str">
        <f>Data!A18</f>
        <v>Dione (SIV)</v>
      </c>
      <c r="N3" s="3" t="str">
        <f>Data!A19</f>
        <v>Helene (SXII)</v>
      </c>
      <c r="O3" s="3" t="str">
        <f>Data!A20</f>
        <v>Rhea (SV)</v>
      </c>
      <c r="P3" s="3" t="str">
        <f>Data!A21</f>
        <v>Titan (SVI)</v>
      </c>
      <c r="Q3" s="3" t="str">
        <f>Data!A22</f>
        <v>Hyperion (SVII)</v>
      </c>
      <c r="R3" s="3" t="str">
        <f>Data!A23</f>
        <v>Iapetus (SVIII)</v>
      </c>
      <c r="S3" s="3" t="str">
        <f>Data!A24</f>
        <v>S/2000 S 5</v>
      </c>
      <c r="T3" s="3" t="str">
        <f>Data!A25</f>
        <v>S/2000 S 6</v>
      </c>
      <c r="U3" s="3" t="str">
        <f>Data!A26</f>
        <v>Phoebe (S IX)</v>
      </c>
      <c r="V3" s="3" t="str">
        <f>Data!A27</f>
        <v>S/2000 S 2</v>
      </c>
      <c r="W3" s="3" t="str">
        <f>Data!A28</f>
        <v>S/2000 S 8</v>
      </c>
      <c r="X3" s="3" t="str">
        <f>Data!A29</f>
        <v>S/2000 S 11</v>
      </c>
      <c r="Y3" s="3" t="str">
        <f>Data!A30</f>
        <v>S/2000 S 10</v>
      </c>
      <c r="Z3" s="3" t="str">
        <f>Data!A31</f>
        <v>S/2000 S 3</v>
      </c>
      <c r="AA3" s="3" t="str">
        <f>Data!A32</f>
        <v>S/2000 S 4</v>
      </c>
      <c r="AB3" s="3" t="str">
        <f>Data!A33</f>
        <v>S/2000 S 9</v>
      </c>
      <c r="AC3" s="3" t="str">
        <f>Data!A34</f>
        <v>S/2000 S 12</v>
      </c>
      <c r="AD3" s="3" t="str">
        <f>Data!A35</f>
        <v>S/2000 S 7</v>
      </c>
      <c r="AE3" s="3" t="str">
        <f>Data!A36</f>
        <v>S/2000 S 1</v>
      </c>
    </row>
    <row r="4" spans="1:32" ht="12.75">
      <c r="A4" s="22" t="str">
        <f>Data!A7</f>
        <v>Pan (SXVIII)</v>
      </c>
      <c r="B4" s="40">
        <f>(SQRT(G*Data!$B7/Data!$C7))/1000</f>
        <v>0.004474259715304868</v>
      </c>
      <c r="C4" s="41">
        <f>B5+orbit01+orbit02</f>
        <v>0.26285581886711085</v>
      </c>
      <c r="D4" s="41">
        <f>B6+orbit01+orbit03</f>
        <v>0.3773770974095318</v>
      </c>
      <c r="E4" s="41">
        <f>B7+orbit01+orbit04</f>
        <v>0.5117505139419726</v>
      </c>
      <c r="F4" s="41">
        <f>B8+orbit01+orbit05</f>
        <v>1.0517004411442556</v>
      </c>
      <c r="G4" s="41">
        <f>B9+orbit01+orbit06</f>
        <v>1.0675288382915196</v>
      </c>
      <c r="H4" s="41">
        <f>B10+orbit01+orbit07</f>
        <v>2.6516146184069926</v>
      </c>
      <c r="I4" s="41">
        <f>B11+orbit01+orbit08</f>
        <v>4.277995893815652</v>
      </c>
      <c r="J4" s="41">
        <f>B12+orbit01+orbit09</f>
        <v>5.310786246689186</v>
      </c>
      <c r="K4" s="41">
        <f>B13+orbit01+orbit10</f>
        <v>5.586587517678506</v>
      </c>
      <c r="L4" s="41">
        <f>B14+orbit01+orbit11</f>
        <v>5.311858873673954</v>
      </c>
      <c r="M4" s="41">
        <f>B15+orbit01+orbit12</f>
        <v>6.7722620928286625</v>
      </c>
      <c r="N4" s="41">
        <f>B16+orbit01+orbit13</f>
        <v>6.42140246081321</v>
      </c>
      <c r="O4" s="41">
        <f>B17+orbit01+orbit14</f>
        <v>7.976964460506734</v>
      </c>
      <c r="P4" s="41">
        <f>B18+orbit01+orbit15</f>
        <v>10.745174125361379</v>
      </c>
      <c r="Q4" s="41">
        <f>B19+orbit01+orbit16</f>
        <v>9.07529942041725</v>
      </c>
      <c r="R4" s="41">
        <f>B20+orbit01+orbit17</f>
        <v>9.320257292242614</v>
      </c>
      <c r="S4" s="41">
        <f>B21+orbit01+orbit18</f>
        <v>8.397649858438964</v>
      </c>
      <c r="T4" s="41">
        <f>B22+orbit01+orbit19</f>
        <v>8.393530879061002</v>
      </c>
      <c r="U4" s="41" t="e">
        <f>B23+orbit01+orbit20</f>
        <v>#NUM!</v>
      </c>
      <c r="V4" s="41">
        <f>B24+orbit01+orbit21</f>
        <v>8.257014836467897</v>
      </c>
      <c r="W4" s="41" t="e">
        <f>B25+orbit01+orbit22</f>
        <v>#NUM!</v>
      </c>
      <c r="X4" s="41">
        <f>B26+orbit01+orbit23</f>
        <v>8.222757649738481</v>
      </c>
      <c r="Y4" s="41">
        <f>B27+orbit01+orbit24</f>
        <v>8.184356687960124</v>
      </c>
      <c r="Z4" s="41">
        <f>B28+orbit01+orbit25</f>
        <v>8.176446471406898</v>
      </c>
      <c r="AA4" s="41">
        <f>B29+orbit01+orbit26</f>
        <v>8.169658766399445</v>
      </c>
      <c r="AB4" s="41" t="e">
        <f>B30+orbit01+orbit27</f>
        <v>#NUM!</v>
      </c>
      <c r="AC4" s="41" t="e">
        <f>B31+orbit01+orbit28</f>
        <v>#NUM!</v>
      </c>
      <c r="AD4" s="41" t="e">
        <f>B32+orbit01+orbit29</f>
        <v>#NUM!</v>
      </c>
      <c r="AE4" s="41" t="e">
        <f>B33+orbit01+orbit30</f>
        <v>#NUM!</v>
      </c>
      <c r="AF4" s="20" t="str">
        <f>Data!A7</f>
        <v>Pan (SXVIII)</v>
      </c>
    </row>
    <row r="5" spans="1:32" ht="12.75">
      <c r="A5" s="3" t="str">
        <f>Data!A8</f>
        <v>Atlas (SXV)</v>
      </c>
      <c r="B5" s="42">
        <f>(ABS((SQRT(2-1/((1+(Data!$D8/Data!$D$7))/2))-1)+ABS(SQRT(2/(Data!$D8/Data!$D$7)-1/((1+(Data!$D8/Data!$D$7))/2))-SQRT(1/(Data!$D8/Data!$D$7)))))*Data!$G$7</f>
        <v>0.25200276425071033</v>
      </c>
      <c r="C5" s="40">
        <f>(SQRT(G*Data!$B8/Data!$C8))/1000</f>
        <v>0.006378794901095653</v>
      </c>
      <c r="D5" s="43">
        <f>C6+orbit02+orbit03</f>
        <v>0.12730303339151278</v>
      </c>
      <c r="E5" s="43">
        <f>C7+orbit02+orbit04</f>
        <v>0.2617320942595628</v>
      </c>
      <c r="F5" s="43">
        <f>C8+orbit02+orbit05</f>
        <v>0.8021549328383837</v>
      </c>
      <c r="G5" s="43">
        <f>C9+orbit02+orbit06</f>
        <v>0.8179866714236048</v>
      </c>
      <c r="H5" s="43">
        <f>C10+orbit02+orbit07</f>
        <v>2.405853567203081</v>
      </c>
      <c r="I5" s="43">
        <f>C11+orbit02+orbit08</f>
        <v>4.040958856906647</v>
      </c>
      <c r="J5" s="43">
        <f>C12+orbit02+orbit09</f>
        <v>5.083854198031357</v>
      </c>
      <c r="K5" s="43">
        <f>C13+orbit02+orbit10</f>
        <v>5.3596554690206775</v>
      </c>
      <c r="L5" s="43">
        <f>C14+orbit02+orbit11</f>
        <v>5.084926825016125</v>
      </c>
      <c r="M5" s="43">
        <f>C15+orbit02+orbit12</f>
        <v>6.558880679982976</v>
      </c>
      <c r="N5" s="43">
        <f>C16+orbit02+orbit13</f>
        <v>6.208021047967524</v>
      </c>
      <c r="O5" s="43">
        <f>C17+orbit02+orbit14</f>
        <v>7.782940228799096</v>
      </c>
      <c r="P5" s="43">
        <f>C18+orbit02+orbit15</f>
        <v>10.593400827388342</v>
      </c>
      <c r="Q5" s="43">
        <f>C19+orbit02+orbit16</f>
        <v>8.930861958992262</v>
      </c>
      <c r="R5" s="43">
        <f>C20+orbit02+orbit17</f>
        <v>9.198707486150889</v>
      </c>
      <c r="S5" s="43">
        <f>C21+orbit02+orbit18</f>
        <v>8.288920222420408</v>
      </c>
      <c r="T5" s="43">
        <f>C22+orbit02+orbit19</f>
        <v>8.284838672437024</v>
      </c>
      <c r="U5" s="43" t="e">
        <f>C23+orbit02+orbit20</f>
        <v>#NUM!</v>
      </c>
      <c r="V5" s="43">
        <f>C24+orbit02+orbit21</f>
        <v>8.149834432912405</v>
      </c>
      <c r="W5" s="43" t="e">
        <f>C25+orbit02+orbit22</f>
        <v>#NUM!</v>
      </c>
      <c r="X5" s="43">
        <f>C26+orbit02+orbit23</f>
        <v>8.115913300675636</v>
      </c>
      <c r="Y5" s="43">
        <f>C27+orbit02+orbit24</f>
        <v>8.077810349408903</v>
      </c>
      <c r="Z5" s="43">
        <f>C28+orbit02+orbit25</f>
        <v>8.070021557944392</v>
      </c>
      <c r="AA5" s="43">
        <f>C29+orbit02+orbit26</f>
        <v>8.06325091265151</v>
      </c>
      <c r="AB5" s="43" t="e">
        <f>C30+orbit02+orbit27</f>
        <v>#NUM!</v>
      </c>
      <c r="AC5" s="43" t="e">
        <f>C31+orbit02+orbit28</f>
        <v>#NUM!</v>
      </c>
      <c r="AD5" s="43" t="e">
        <f>C32+orbit02+orbit29</f>
        <v>#NUM!</v>
      </c>
      <c r="AE5" s="43" t="e">
        <f>C33+orbit02+orbit30</f>
        <v>#NUM!</v>
      </c>
      <c r="AF5" s="19" t="str">
        <f>Data!A8</f>
        <v>Atlas (SXV)</v>
      </c>
    </row>
    <row r="6" spans="1:32" ht="12.75">
      <c r="A6" s="22" t="str">
        <f>Data!A9</f>
        <v>Prometheus (SXVI)</v>
      </c>
      <c r="B6" s="44">
        <f>(ABS((SQRT(2-1/((1+(Data!$D9/Data!$D$7))/2))-1)+ABS(SQRT(2/(Data!$D9/Data!$D$7)-1/((1+(Data!$D9/Data!$D$7))/2))-SQRT(1/(Data!$D9/Data!$D$7)))))*Data!$G$7</f>
        <v>0.35251929827524275</v>
      </c>
      <c r="C6" s="44">
        <f>(ABS((SQRT(2-1/((1+(Data!$D9/Data!$D$8))/2))-1)+ABS(SQRT(2/(Data!$D9/Data!$D$8)-1/((1+(Data!$D9/Data!$D$8))/2))-SQRT(1/(Data!$D9/Data!$D$8)))))*Data!$G$8</f>
        <v>0.10054069907143291</v>
      </c>
      <c r="D6" s="40">
        <f>(SQRT(G*Data!$B9/Data!$C9))/1000</f>
        <v>0.020383539418984208</v>
      </c>
      <c r="E6" s="41">
        <f>D7+orbit03+orbit04</f>
        <v>0.1752051889366548</v>
      </c>
      <c r="F6" s="41">
        <f>D8+orbit03+orbit05</f>
        <v>0.7157657052678207</v>
      </c>
      <c r="G6" s="41">
        <f>D9+orbit03+orbit06</f>
        <v>0.7315985285754986</v>
      </c>
      <c r="H6" s="41">
        <f>D10+orbit03+orbit07</f>
        <v>2.3208331172222336</v>
      </c>
      <c r="I6" s="41">
        <f>D11+orbit03+orbit08</f>
        <v>3.959283870359064</v>
      </c>
      <c r="J6" s="41">
        <f>D12+orbit03+orbit09</f>
        <v>5.006132276659215</v>
      </c>
      <c r="K6" s="41">
        <f>D13+orbit03+orbit10</f>
        <v>5.281933547648535</v>
      </c>
      <c r="L6" s="41">
        <f>D14+orbit03+orbit11</f>
        <v>5.0072049036439825</v>
      </c>
      <c r="M6" s="41">
        <f>D15+orbit03+orbit12</f>
        <v>6.486516001434056</v>
      </c>
      <c r="N6" s="41">
        <f>D16+orbit03+orbit13</f>
        <v>6.135656369418604</v>
      </c>
      <c r="O6" s="41">
        <f>D17+orbit03+orbit14</f>
        <v>7.7182921526940245</v>
      </c>
      <c r="P6" s="41">
        <f>D18+orbit03+orbit15</f>
        <v>10.545751686312121</v>
      </c>
      <c r="Q6" s="41">
        <f>D19+orbit03+orbit16</f>
        <v>8.886180249495016</v>
      </c>
      <c r="R6" s="41">
        <f>D20+orbit03+orbit17</f>
        <v>9.163308542148705</v>
      </c>
      <c r="S6" s="41">
        <f>D21+orbit03+orbit18</f>
        <v>8.258735598734509</v>
      </c>
      <c r="T6" s="41">
        <f>D22+orbit03+orbit19</f>
        <v>8.254669286757196</v>
      </c>
      <c r="U6" s="41" t="e">
        <f>D23+orbit03+orbit20</f>
        <v>#NUM!</v>
      </c>
      <c r="V6" s="41">
        <f>D24+orbit03+orbit21</f>
        <v>8.120280590905283</v>
      </c>
      <c r="W6" s="41" t="e">
        <f>D25+orbit03+orbit22</f>
        <v>#NUM!</v>
      </c>
      <c r="X6" s="41">
        <f>D26+orbit03+orbit23</f>
        <v>8.086496304251984</v>
      </c>
      <c r="Y6" s="41">
        <f>D27+orbit03+orbit24</f>
        <v>8.04851471207121</v>
      </c>
      <c r="Z6" s="41">
        <f>D28+orbit03+orbit25</f>
        <v>8.040775370130563</v>
      </c>
      <c r="AA6" s="41">
        <f>D29+orbit03+orbit26</f>
        <v>8.034011672356387</v>
      </c>
      <c r="AB6" s="41" t="e">
        <f>D30+orbit03+orbit27</f>
        <v>#NUM!</v>
      </c>
      <c r="AC6" s="41" t="e">
        <f>D31+orbit03+orbit28</f>
        <v>#NUM!</v>
      </c>
      <c r="AD6" s="41" t="e">
        <f>D32+orbit03+orbit29</f>
        <v>#NUM!</v>
      </c>
      <c r="AE6" s="41" t="e">
        <f>D33+orbit03+orbit30</f>
        <v>#NUM!</v>
      </c>
      <c r="AF6" s="21" t="str">
        <f>Data!A9</f>
        <v>Prometheus (SXVI)</v>
      </c>
    </row>
    <row r="7" spans="1:32" ht="12.75">
      <c r="A7" s="3" t="str">
        <f>Data!A10</f>
        <v>Pandora (SXVII)</v>
      </c>
      <c r="B7" s="42">
        <f>(ABS((SQRT(2-1/((1+(Data!$D10/Data!$D$7))/2))-1)+ABS(SQRT(2/(Data!$D10/Data!$D$7)-1/((1+(Data!$D10/Data!$D$7))/2))-SQRT(1/(Data!$D10/Data!$D$7)))))*Data!$G$7</f>
        <v>0.4896588738021194</v>
      </c>
      <c r="C7" s="42">
        <f>(ABS((SQRT(2-1/((1+(Data!$D10/Data!$D$8))/2))-1)+ABS(SQRT(2/(Data!$D10/Data!$D$8)-1/((1+(Data!$D10/Data!$D$8))/2))-SQRT(1/(Data!$D10/Data!$D$8)))))*Data!$G$8</f>
        <v>0.23773591893391888</v>
      </c>
      <c r="D7" s="42">
        <f>(ABS((SQRT(2-1/((1+(Data!$D10/Data!$D$9))/2))-1)+ABS(SQRT(2/(Data!$D10/Data!$D$9)-1/((1+(Data!$D10/Data!$D$9))/2))-SQRT(1/(Data!$D10/Data!$D$9)))))*Data!$G$9</f>
        <v>0.13720426909312233</v>
      </c>
      <c r="E7" s="40">
        <f>(SQRT(G*Data!$B10/Data!$C10))/1000</f>
        <v>0.01761738042454825</v>
      </c>
      <c r="F7" s="43">
        <f>E8+orbit04+orbit05</f>
        <v>0.5759352109479285</v>
      </c>
      <c r="G7" s="43">
        <f>E9+orbit04+orbit06</f>
        <v>0.5917692807363166</v>
      </c>
      <c r="H7" s="43">
        <f>E10+orbit04+orbit07</f>
        <v>2.1827373030645822</v>
      </c>
      <c r="I7" s="43">
        <f>E11+orbit04+orbit08</f>
        <v>3.8256247800944037</v>
      </c>
      <c r="J7" s="43">
        <f>E12+orbit04+orbit09</f>
        <v>4.8777920881303</v>
      </c>
      <c r="K7" s="43">
        <f>E13+orbit04+orbit10</f>
        <v>5.15359335911962</v>
      </c>
      <c r="L7" s="43">
        <f>E14+orbit04+orbit11</f>
        <v>4.878864715115068</v>
      </c>
      <c r="M7" s="43">
        <f>E15+orbit04+orbit12</f>
        <v>6.365438222078179</v>
      </c>
      <c r="N7" s="43">
        <f>E16+orbit04+orbit13</f>
        <v>6.014578590062727</v>
      </c>
      <c r="O7" s="43">
        <f>E17+orbit04+orbit14</f>
        <v>7.607736255071973</v>
      </c>
      <c r="P7" s="43">
        <f>E18+orbit04+orbit15</f>
        <v>10.458523941801515</v>
      </c>
      <c r="Q7" s="43">
        <f>E19+orbit04+orbit16</f>
        <v>8.803040116975758</v>
      </c>
      <c r="R7" s="43">
        <f>E20+orbit04+orbit17</f>
        <v>9.092978833744414</v>
      </c>
      <c r="S7" s="43">
        <f>E21+orbit04+orbit18</f>
        <v>8.195615945856723</v>
      </c>
      <c r="T7" s="43">
        <f>E22+orbit04+orbit19</f>
        <v>8.191570718006204</v>
      </c>
      <c r="U7" s="43" t="e">
        <f>E23+orbit04+orbit20</f>
        <v>#NUM!</v>
      </c>
      <c r="V7" s="43">
        <f>E24+orbit04+orbit21</f>
        <v>8.058033787597838</v>
      </c>
      <c r="W7" s="43" t="e">
        <f>E25+orbit04+orbit22</f>
        <v>#NUM!</v>
      </c>
      <c r="X7" s="43">
        <f>E26+orbit04+orbit23</f>
        <v>8.024438880004098</v>
      </c>
      <c r="Y7" s="43">
        <f>E27+orbit04+orbit24</f>
        <v>7.986625240585578</v>
      </c>
      <c r="Z7" s="43">
        <f>E28+orbit04+orbit25</f>
        <v>7.978954334864134</v>
      </c>
      <c r="AA7" s="43">
        <f>E29+orbit04+orbit26</f>
        <v>7.972200252251881</v>
      </c>
      <c r="AB7" s="43" t="e">
        <f>E30+orbit04+orbit27</f>
        <v>#NUM!</v>
      </c>
      <c r="AC7" s="43" t="e">
        <f>E31+orbit04+orbit28</f>
        <v>#NUM!</v>
      </c>
      <c r="AD7" s="43" t="e">
        <f>E32+orbit04+orbit29</f>
        <v>#NUM!</v>
      </c>
      <c r="AE7" s="43" t="e">
        <f>E33+orbit04+orbit30</f>
        <v>#NUM!</v>
      </c>
      <c r="AF7" s="19" t="str">
        <f>Data!A10</f>
        <v>Pandora (SXVII)</v>
      </c>
    </row>
    <row r="8" spans="1:32" ht="12.75">
      <c r="A8" s="3" t="str">
        <f>Data!A11</f>
        <v>Epimetheus (SXI)</v>
      </c>
      <c r="B8" s="44">
        <f>(ABS((SQRT(2-1/((1+(Data!$D11/Data!$D$7))/2))-1)+ABS(SQRT(2/(Data!$D11/Data!$D$7)-1/((1+(Data!$D11/Data!$D$7))/2))-SQRT(1/(Data!$D11/Data!$D$7)))))*Data!$G$7</f>
        <v>1.0227196516868595</v>
      </c>
      <c r="C8" s="44">
        <f>(ABS((SQRT(2-1/((1+(Data!$D11/Data!$D$8))/2))-1)+ABS(SQRT(2/(Data!$D11/Data!$D$8)-1/((1+(Data!$D11/Data!$D$8))/2))-SQRT(1/(Data!$D11/Data!$D$8)))))*Data!$G$8</f>
        <v>0.7712696081951969</v>
      </c>
      <c r="D8" s="44">
        <f>(ABS((SQRT(2-1/((1+(Data!$D11/Data!$D$9))/2))-1)+ABS(SQRT(2/(Data!$D11/Data!$D$9)-1/((1+(Data!$D11/Data!$D$9))/2))-SQRT(1/(Data!$D11/Data!$D$9)))))*Data!$G$9</f>
        <v>0.6708756361067453</v>
      </c>
      <c r="E8" s="44">
        <f>(ABS((SQRT(2-1/((1+(Data!$D11/Data!$D$10))/2))-1)+ABS(SQRT(2/(Data!$D11/Data!$D$10)-1/((1+(Data!$D11/Data!$D$10))/2))-SQRT(1/(Data!$D11/Data!$D$10)))))*Data!$G$10</f>
        <v>0.533811300781289</v>
      </c>
      <c r="F8" s="40">
        <f>(SQRT(G*Data!$B11/Data!$C11))/1000</f>
        <v>0.02450652974209119</v>
      </c>
      <c r="G8" s="41">
        <f>F9+orbit05+orbit06</f>
        <v>0.064849319891746</v>
      </c>
      <c r="H8" s="41">
        <f>F10+orbit05+orbit07</f>
        <v>1.6610410191873284</v>
      </c>
      <c r="I8" s="41">
        <f>F11+orbit05+orbit08</f>
        <v>3.3196991496938746</v>
      </c>
      <c r="J8" s="41">
        <f>F12+orbit05+orbit09</f>
        <v>4.391666603228941</v>
      </c>
      <c r="K8" s="41">
        <f>F13+orbit05+orbit10</f>
        <v>4.667467874218262</v>
      </c>
      <c r="L8" s="41">
        <f>F14+orbit05+orbit11</f>
        <v>4.392739230213709</v>
      </c>
      <c r="M8" s="41">
        <f>F15+orbit05+orbit12</f>
        <v>5.9069760958375905</v>
      </c>
      <c r="N8" s="41">
        <f>F16+orbit05+orbit13</f>
        <v>5.556116463822138</v>
      </c>
      <c r="O8" s="41">
        <f>F17+orbit05+orbit14</f>
        <v>7.190062218657373</v>
      </c>
      <c r="P8" s="41">
        <f>F18+orbit05+orbit15</f>
        <v>10.13303224585349</v>
      </c>
      <c r="Q8" s="41">
        <f>F19+orbit05+orbit16</f>
        <v>8.493881669421626</v>
      </c>
      <c r="R8" s="41">
        <f>F20+orbit05+orbit17</f>
        <v>8.835288503996226</v>
      </c>
      <c r="S8" s="41">
        <f>F21+orbit05+orbit18</f>
        <v>7.967063419009029</v>
      </c>
      <c r="T8" s="41">
        <f>F22+orbit05+orbit19</f>
        <v>7.9631035655190034</v>
      </c>
      <c r="U8" s="41" t="e">
        <f>F23+orbit05+orbit20</f>
        <v>#NUM!</v>
      </c>
      <c r="V8" s="41">
        <f>F24+orbit05+orbit21</f>
        <v>7.833016421871734</v>
      </c>
      <c r="W8" s="41" t="e">
        <f>F25+orbit05+orbit22</f>
        <v>#NUM!</v>
      </c>
      <c r="X8" s="41">
        <f>F26+orbit05+orbit23</f>
        <v>7.8001887406659405</v>
      </c>
      <c r="Y8" s="41">
        <f>F27+orbit05+orbit24</f>
        <v>7.763055587778</v>
      </c>
      <c r="Z8" s="41">
        <f>F28+orbit05+orbit25</f>
        <v>7.755661979171115</v>
      </c>
      <c r="AA8" s="41">
        <f>F29+orbit05+orbit26</f>
        <v>7.74894685708729</v>
      </c>
      <c r="AB8" s="41" t="e">
        <f>F30+orbit05+orbit27</f>
        <v>#NUM!</v>
      </c>
      <c r="AC8" s="41" t="e">
        <f>F31+orbit05+orbit28</f>
        <v>#NUM!</v>
      </c>
      <c r="AD8" s="41" t="e">
        <f>F32+orbit05+orbit29</f>
        <v>#NUM!</v>
      </c>
      <c r="AE8" s="41" t="e">
        <f>F33+orbit05+orbit30</f>
        <v>#NUM!</v>
      </c>
      <c r="AF8" s="19" t="str">
        <f>Data!A11</f>
        <v>Epimetheus (SXI)</v>
      </c>
    </row>
    <row r="9" spans="1:32" ht="12.75">
      <c r="A9" s="3" t="str">
        <f>Data!A12</f>
        <v>Janus (SX)</v>
      </c>
      <c r="B9" s="42">
        <f>(ABS((SQRT(2-1/((1+(Data!$D12/Data!$D$7))/2))-1)+ABS(SQRT(2/(Data!$D12/Data!$D$7)-1/((1+(Data!$D12/Data!$D$7))/2))-SQRT(1/(Data!$D12/Data!$D$7)))))*Data!$G$7</f>
        <v>1.0253243077935483</v>
      </c>
      <c r="C9" s="42">
        <f>(ABS((SQRT(2-1/((1+(Data!$D12/Data!$D$8))/2))-1)+ABS(SQRT(2/(Data!$D12/Data!$D$8)-1/((1+(Data!$D12/Data!$D$8))/2))-SQRT(1/(Data!$D12/Data!$D$8)))))*Data!$G$8</f>
        <v>0.7738776057398428</v>
      </c>
      <c r="D9" s="42">
        <f>(ABS((SQRT(2-1/((1+(Data!$D12/Data!$D$9))/2))-1)+ABS(SQRT(2/(Data!$D12/Data!$D$9)-1/((1+(Data!$D12/Data!$D$9))/2))-SQRT(1/(Data!$D12/Data!$D$9)))))*Data!$G$9</f>
        <v>0.6734847183738479</v>
      </c>
      <c r="E9" s="42">
        <f>(ABS((SQRT(2-1/((1+(Data!$D12/Data!$D$10))/2))-1)+ABS(SQRT(2/(Data!$D12/Data!$D$10)-1/((1+(Data!$D12/Data!$D$10))/2))-SQRT(1/(Data!$D12/Data!$D$10)))))*Data!$G$10</f>
        <v>0.5364216295291019</v>
      </c>
      <c r="F9" s="42">
        <f>(ABS((SQRT(2-1/((1+(Data!$D12/Data!$D$11))/2))-1)+ABS(SQRT(2/(Data!$D12/Data!$D$11)-1/((1+(Data!$D12/Data!$D$11))/2))-SQRT(1/(Data!$D12/Data!$D$11)))))*Data!$G$11</f>
        <v>0.002612519366988359</v>
      </c>
      <c r="G9" s="40">
        <f>(SQRT(G*Data!$B12/Data!$C12))/1000</f>
        <v>0.03773027078266644</v>
      </c>
      <c r="H9" s="43">
        <f>G10+orbit06+orbit07</f>
        <v>1.671671635548994</v>
      </c>
      <c r="I9" s="43">
        <f>G11+orbit06+orbit08</f>
        <v>3.330400795622713</v>
      </c>
      <c r="J9" s="43">
        <f>G12+orbit06+orbit09</f>
        <v>4.40246137317534</v>
      </c>
      <c r="K9" s="43">
        <f>G13+orbit06+orbit10</f>
        <v>4.67826264416466</v>
      </c>
      <c r="L9" s="43">
        <f>G14+orbit06+orbit11</f>
        <v>4.403534000160108</v>
      </c>
      <c r="M9" s="43">
        <f>G15+orbit06+orbit12</f>
        <v>5.917903633450176</v>
      </c>
      <c r="N9" s="43">
        <f>G16+orbit06+orbit13</f>
        <v>5.5670440014347236</v>
      </c>
      <c r="O9" s="43">
        <f>G17+orbit06+orbit14</f>
        <v>7.201188470956476</v>
      </c>
      <c r="P9" s="43">
        <f>G18+orbit06+orbit15</f>
        <v>10.144614863512999</v>
      </c>
      <c r="Q9" s="43">
        <f>G19+orbit06+orbit16</f>
        <v>8.505545893275062</v>
      </c>
      <c r="R9" s="43">
        <f>G20+orbit06+orbit17</f>
        <v>8.847211036371249</v>
      </c>
      <c r="S9" s="43">
        <f>G21+orbit06+orbit18</f>
        <v>7.979132891610796</v>
      </c>
      <c r="T9" s="43">
        <f>G22+orbit06+orbit19</f>
        <v>7.975173469351374</v>
      </c>
      <c r="U9" s="43" t="e">
        <f>G23+orbit06+orbit20</f>
        <v>#NUM!</v>
      </c>
      <c r="V9" s="43">
        <f>G24+orbit06+orbit21</f>
        <v>7.845103754062722</v>
      </c>
      <c r="W9" s="43" t="e">
        <f>G25+orbit06+orbit22</f>
        <v>#NUM!</v>
      </c>
      <c r="X9" s="43">
        <f>G26+orbit06+orbit23</f>
        <v>7.812279949763872</v>
      </c>
      <c r="Y9" s="43">
        <f>G27+orbit06+orbit24</f>
        <v>7.775150235737974</v>
      </c>
      <c r="Z9" s="43">
        <f>G28+orbit06+orbit25</f>
        <v>7.767758028532725</v>
      </c>
      <c r="AA9" s="43">
        <f>G29+orbit06+orbit26</f>
        <v>7.761043103350564</v>
      </c>
      <c r="AB9" s="43" t="e">
        <f>G30+orbit06+orbit27</f>
        <v>#NUM!</v>
      </c>
      <c r="AC9" s="43" t="e">
        <f>G31+orbit06+orbit28</f>
        <v>#NUM!</v>
      </c>
      <c r="AD9" s="43" t="e">
        <f>G32+orbit06+orbit29</f>
        <v>#NUM!</v>
      </c>
      <c r="AE9" s="43" t="e">
        <f>G33+orbit06+orbit30</f>
        <v>#NUM!</v>
      </c>
      <c r="AF9" s="19" t="str">
        <f>Data!A12</f>
        <v>Janus (SX)</v>
      </c>
    </row>
    <row r="10" spans="1:32" ht="12.75">
      <c r="A10" s="3" t="str">
        <f>Data!A13</f>
        <v>Mimas (SI)</v>
      </c>
      <c r="B10" s="44">
        <f>(ABS((SQRT(2-1/((1+(Data!$D13/Data!$D$7))/2))-1)+ABS(SQRT(2/(Data!$D13/Data!$D$7)-1/((1+(Data!$D13/Data!$D$7))/2))-SQRT(1/(Data!$D13/Data!$D$7)))))*Data!$G$7</f>
        <v>2.535003171533642</v>
      </c>
      <c r="C10" s="44">
        <f>(ABS((SQRT(2-1/((1+(Data!$D13/Data!$D$8))/2))-1)+ABS(SQRT(2/(Data!$D13/Data!$D$8)-1/((1+(Data!$D13/Data!$D$8))/2))-SQRT(1/(Data!$D13/Data!$D$8)))))*Data!$G$8</f>
        <v>2.2873375851439395</v>
      </c>
      <c r="D10" s="44">
        <f>(ABS((SQRT(2-1/((1+(Data!$D13/Data!$D$9))/2))-1)+ABS(SQRT(2/(Data!$D13/Data!$D$9)-1/((1+(Data!$D13/Data!$D$9))/2))-SQRT(1/(Data!$D13/Data!$D$9)))))*Data!$G$9</f>
        <v>2.1883123906452036</v>
      </c>
      <c r="E10" s="44">
        <f>(ABS((SQRT(2-1/((1+(Data!$D13/Data!$D$10))/2))-1)+ABS(SQRT(2/(Data!$D13/Data!$D$10)-1/((1+(Data!$D13/Data!$D$10))/2))-SQRT(1/(Data!$D13/Data!$D$10)))))*Data!$G$10</f>
        <v>2.0529827354819883</v>
      </c>
      <c r="F10" s="44">
        <f>(ABS((SQRT(2-1/((1+(Data!$D13/Data!$D$11))/2))-1)+ABS(SQRT(2/(Data!$D13/Data!$D$11)-1/((1+(Data!$D13/Data!$D$11))/2))-SQRT(1/(Data!$D13/Data!$D$11)))))*Data!$G$11</f>
        <v>1.5243973022871913</v>
      </c>
      <c r="G10" s="44">
        <f>(ABS((SQRT(2-1/((1+(Data!$D13/Data!$D$12))/2))-1)+ABS(SQRT(2/(Data!$D13/Data!$D$12)-1/((1+(Data!$D13/Data!$D$12))/2))-SQRT(1/(Data!$D13/Data!$D$12)))))*Data!$G$12</f>
        <v>1.5218041776082816</v>
      </c>
      <c r="H10" s="40">
        <f>(SQRT(G*Data!$B13/Data!$C13))/1000</f>
        <v>0.1121371871580458</v>
      </c>
      <c r="I10" s="41">
        <f>H11+orbit07+orbit08</f>
        <v>1.912768821641886</v>
      </c>
      <c r="J10" s="41">
        <f>H12+orbit07+orbit09</f>
        <v>3.031656081832749</v>
      </c>
      <c r="K10" s="41">
        <f>H13+orbit07+orbit10</f>
        <v>3.3074573528220688</v>
      </c>
      <c r="L10" s="41">
        <f>H14+orbit07+orbit11</f>
        <v>3.0327287088175163</v>
      </c>
      <c r="M10" s="41">
        <f>H15+orbit07+orbit12</f>
        <v>4.618968222404059</v>
      </c>
      <c r="N10" s="41">
        <f>H16+orbit07+orbit13</f>
        <v>4.268108590388607</v>
      </c>
      <c r="O10" s="41">
        <f>H17+orbit07+orbit14</f>
        <v>6.0155083121843465</v>
      </c>
      <c r="P10" s="41">
        <f>H18+orbit07+orbit15</f>
        <v>9.233394056876909</v>
      </c>
      <c r="Q10" s="41">
        <f>H19+orbit07+orbit16</f>
        <v>7.644917371070473</v>
      </c>
      <c r="R10" s="41">
        <f>H20+orbit07+orbit17</f>
        <v>8.149154899894446</v>
      </c>
      <c r="S10" s="41">
        <f>H21+orbit07+orbit18</f>
        <v>7.37506401259281</v>
      </c>
      <c r="T10" s="41">
        <f>H22+orbit07+orbit19</f>
        <v>7.371381925030084</v>
      </c>
      <c r="U10" s="41" t="e">
        <f>H23+orbit07+orbit20</f>
        <v>#NUM!</v>
      </c>
      <c r="V10" s="41">
        <f>H24+orbit07+orbit21</f>
        <v>7.252528016218706</v>
      </c>
      <c r="W10" s="41" t="e">
        <f>H25+orbit07+orbit22</f>
        <v>#NUM!</v>
      </c>
      <c r="X10" s="41">
        <f>H26+orbit07+orbit23</f>
        <v>7.222201056419039</v>
      </c>
      <c r="Y10" s="41">
        <f>H27+orbit07+orbit24</f>
        <v>7.187286652244897</v>
      </c>
      <c r="Z10" s="41">
        <f>H28+orbit07+orbit25</f>
        <v>7.180797381952091</v>
      </c>
      <c r="AA10" s="41">
        <f>H29+orbit07+orbit26</f>
        <v>7.174209329690563</v>
      </c>
      <c r="AB10" s="41" t="e">
        <f>H30+orbit07+orbit27</f>
        <v>#NUM!</v>
      </c>
      <c r="AC10" s="41" t="e">
        <f>H31+orbit07+orbit28</f>
        <v>#NUM!</v>
      </c>
      <c r="AD10" s="41" t="e">
        <f>H32+orbit07+orbit29</f>
        <v>#NUM!</v>
      </c>
      <c r="AE10" s="41" t="e">
        <f>H33+orbit07+orbit30</f>
        <v>#NUM!</v>
      </c>
      <c r="AF10" s="19" t="str">
        <f>Data!A13</f>
        <v>Mimas (SI)</v>
      </c>
    </row>
    <row r="11" spans="1:32" ht="12.75">
      <c r="A11" s="3" t="str">
        <f>Data!A14</f>
        <v>Enceladus (SII)</v>
      </c>
      <c r="B11" s="42">
        <f>(ABS((SQRT(2-1/((1+(Data!$D14/Data!$D$7))/2))-1)+ABS(SQRT(2/(Data!$D14/Data!$D$7)-1/((1+(Data!$D14/Data!$D$7))/2))-SQRT(1/(Data!$D14/Data!$D$7)))))*Data!$G$7</f>
        <v>4.141538764334433</v>
      </c>
      <c r="C11" s="42">
        <f>(ABS((SQRT(2-1/((1+(Data!$D14/Data!$D$8))/2))-1)+ABS(SQRT(2/(Data!$D14/Data!$D$8)-1/((1+(Data!$D14/Data!$D$8))/2))-SQRT(1/(Data!$D14/Data!$D$8)))))*Data!$G$8</f>
        <v>3.902597192239636</v>
      </c>
      <c r="D11" s="42">
        <f>(ABS((SQRT(2-1/((1+(Data!$D14/Data!$D$9))/2))-1)+ABS(SQRT(2/(Data!$D14/Data!$D$9)-1/((1+(Data!$D14/Data!$D$9))/2))-SQRT(1/(Data!$D14/Data!$D$9)))))*Data!$G$9</f>
        <v>3.806917461174164</v>
      </c>
      <c r="E11" s="42">
        <f>(ABS((SQRT(2-1/((1+(Data!$D14/Data!$D$10))/2))-1)+ABS(SQRT(2/(Data!$D14/Data!$D$10)-1/((1+(Data!$D14/Data!$D$10))/2))-SQRT(1/(Data!$D14/Data!$D$10)))))*Data!$G$10</f>
        <v>3.67602452990394</v>
      </c>
      <c r="F11" s="42">
        <f>(ABS((SQRT(2-1/((1+(Data!$D14/Data!$D$11))/2))-1)+ABS(SQRT(2/(Data!$D14/Data!$D$11)-1/((1+(Data!$D14/Data!$D$11))/2))-SQRT(1/(Data!$D14/Data!$D$11)))))*Data!$G$11</f>
        <v>3.163209750185868</v>
      </c>
      <c r="G11" s="42">
        <f>(ABS((SQRT(2-1/((1+(Data!$D14/Data!$D$12))/2))-1)+ABS(SQRT(2/(Data!$D14/Data!$D$12)-1/((1+(Data!$D14/Data!$D$12))/2))-SQRT(1/(Data!$D14/Data!$D$12)))))*Data!$G$12</f>
        <v>3.160687655074131</v>
      </c>
      <c r="H11" s="42">
        <f>(ABS((SQRT(2-1/((1+(Data!$D14/Data!$D$13))/2))-1)+ABS(SQRT(2/(Data!$D14/Data!$D$13)-1/((1+(Data!$D14/Data!$D$13))/2))-SQRT(1/(Data!$D14/Data!$D$13)))))*Data!$G$13</f>
        <v>1.668648764717925</v>
      </c>
      <c r="I11" s="40">
        <f>(SQRT(G*Data!$B14/Data!$C14))/1000</f>
        <v>0.13198286976591542</v>
      </c>
      <c r="J11" s="43">
        <f>I12+orbit08+orbit09</f>
        <v>1.4115352747365049</v>
      </c>
      <c r="K11" s="43">
        <f>I13+orbit08+orbit10</f>
        <v>1.687336545725825</v>
      </c>
      <c r="L11" s="43">
        <f>I14+orbit08+orbit11</f>
        <v>1.4126079017212727</v>
      </c>
      <c r="M11" s="43">
        <f>I15+orbit08+orbit12</f>
        <v>3.058772866596142</v>
      </c>
      <c r="N11" s="43">
        <f>I16+orbit08+orbit13</f>
        <v>2.7079132345806896</v>
      </c>
      <c r="O11" s="43">
        <f>I17+orbit08+orbit14</f>
        <v>4.566737609124111</v>
      </c>
      <c r="P11" s="43">
        <f>I18+orbit08+orbit15</f>
        <v>8.098362357548265</v>
      </c>
      <c r="Q11" s="43">
        <f>I19+orbit08+orbit16</f>
        <v>6.572437209144477</v>
      </c>
      <c r="R11" s="43">
        <f>I20+orbit08+orbit17</f>
        <v>7.28564933264038</v>
      </c>
      <c r="S11" s="43">
        <f>I21+orbit08+orbit18</f>
        <v>6.637464785640956</v>
      </c>
      <c r="T11" s="43">
        <f>I22+orbit08+orbit19</f>
        <v>6.634159424566197</v>
      </c>
      <c r="U11" s="43" t="e">
        <f>I23+orbit08+orbit20</f>
        <v>#NUM!</v>
      </c>
      <c r="V11" s="43">
        <f>I24+orbit08+orbit21</f>
        <v>6.530566024056001</v>
      </c>
      <c r="W11" s="43" t="e">
        <f>I25+orbit08+orbit22</f>
        <v>#NUM!</v>
      </c>
      <c r="X11" s="43">
        <f>I26+orbit08+orbit23</f>
        <v>6.503642999131292</v>
      </c>
      <c r="Y11" s="43">
        <f>I27+orbit08+orbit24</f>
        <v>6.471750741665563</v>
      </c>
      <c r="Z11" s="43">
        <f>I28+orbit08+orbit25</f>
        <v>6.46649381253205</v>
      </c>
      <c r="AA11" s="43">
        <f>I29+orbit08+orbit26</f>
        <v>6.460078943564998</v>
      </c>
      <c r="AB11" s="43" t="e">
        <f>I30+orbit08+orbit27</f>
        <v>#NUM!</v>
      </c>
      <c r="AC11" s="43" t="e">
        <f>I31+orbit08+orbit28</f>
        <v>#NUM!</v>
      </c>
      <c r="AD11" s="43" t="e">
        <f>I32+orbit08+orbit29</f>
        <v>#NUM!</v>
      </c>
      <c r="AE11" s="43" t="e">
        <f>I33+orbit08+orbit30</f>
        <v>#NUM!</v>
      </c>
      <c r="AF11" s="19" t="str">
        <f>Data!A14</f>
        <v>Enceladus (SII)</v>
      </c>
    </row>
    <row r="12" spans="1:32" ht="12.75">
      <c r="A12" s="3" t="str">
        <f>Data!A15</f>
        <v>Calypso (SXIV)</v>
      </c>
      <c r="B12" s="44">
        <f>(ABS((SQRT(2-1/((1+(Data!$D15/Data!$D$7))/2))-1)+ABS(SQRT(2/(Data!$D15/Data!$D$7)-1/((1+(Data!$D15/Data!$D$7))/2))-SQRT(1/(Data!$D15/Data!$D$7)))))*Data!$G$7</f>
        <v>5.30114555687177</v>
      </c>
      <c r="C12" s="44">
        <f>(ABS((SQRT(2-1/((1+(Data!$D15/Data!$D$8))/2))-1)+ABS(SQRT(2/(Data!$D15/Data!$D$8)-1/((1+(Data!$D15/Data!$D$8))/2))-SQRT(1/(Data!$D15/Data!$D$8)))))*Data!$G$8</f>
        <v>5.07230897302815</v>
      </c>
      <c r="D12" s="44">
        <f>(ABS((SQRT(2-1/((1+(Data!$D15/Data!$D$9))/2))-1)+ABS(SQRT(2/(Data!$D15/Data!$D$9)-1/((1+(Data!$D15/Data!$D$9))/2))-SQRT(1/(Data!$D15/Data!$D$9)))))*Data!$G$9</f>
        <v>4.9805823071381194</v>
      </c>
      <c r="E12" s="44">
        <f>(ABS((SQRT(2-1/((1+(Data!$D15/Data!$D$10))/2))-1)+ABS(SQRT(2/(Data!$D15/Data!$D$10)-1/((1+(Data!$D15/Data!$D$10))/2))-SQRT(1/(Data!$D15/Data!$D$10)))))*Data!$G$10</f>
        <v>4.85500827760364</v>
      </c>
      <c r="F12" s="44">
        <f>(ABS((SQRT(2-1/((1+(Data!$D15/Data!$D$11))/2))-1)+ABS(SQRT(2/(Data!$D15/Data!$D$11)-1/((1+(Data!$D15/Data!$D$11))/2))-SQRT(1/(Data!$D15/Data!$D$11)))))*Data!$G$11</f>
        <v>4.361993643384739</v>
      </c>
      <c r="G12" s="44">
        <f>(ABS((SQRT(2-1/((1+(Data!$D15/Data!$D$12))/2))-1)+ABS(SQRT(2/(Data!$D15/Data!$D$12)-1/((1+(Data!$D15/Data!$D$12))/2))-SQRT(1/(Data!$D15/Data!$D$12)))))*Data!$G$12</f>
        <v>4.3595646722905625</v>
      </c>
      <c r="H12" s="44">
        <f>(ABS((SQRT(2-1/((1+(Data!$D15/Data!$D$13))/2))-1)+ABS(SQRT(2/(Data!$D15/Data!$D$13)-1/((1+(Data!$D15/Data!$D$13))/2))-SQRT(1/(Data!$D15/Data!$D$13)))))*Data!$G$13</f>
        <v>2.914352464572592</v>
      </c>
      <c r="I12" s="44">
        <f>(ABS((SQRT(2-1/((1+(Data!$D15/Data!$D$14))/2))-1)+ABS(SQRT(2/(Data!$D15/Data!$D$14)-1/((1+(Data!$D15/Data!$D$14))/2))-SQRT(1/(Data!$D15/Data!$D$14)))))*Data!$G$14</f>
        <v>1.2743859748684785</v>
      </c>
      <c r="J12" s="40">
        <f>(SQRT(G*Data!$B15/Data!$C15))/1000</f>
        <v>0.005166430102111127</v>
      </c>
      <c r="K12" s="41">
        <f>J13+orbit09+orbit10</f>
        <v>0.2861341311935423</v>
      </c>
      <c r="L12" s="41">
        <f>J14+orbit09+orbit11</f>
        <v>0.011405487188989987</v>
      </c>
      <c r="M12" s="41">
        <f>J15+orbit09+orbit12</f>
        <v>1.6827889399083558</v>
      </c>
      <c r="N12" s="41">
        <f>J16+orbit09+orbit13</f>
        <v>1.3319293078929035</v>
      </c>
      <c r="O12" s="41">
        <f>J17+orbit09+orbit14</f>
        <v>3.2580391996404288</v>
      </c>
      <c r="P12" s="41">
        <f>J18+orbit09+orbit15</f>
        <v>7.027672302389318</v>
      </c>
      <c r="Q12" s="41">
        <f>J19+orbit09+orbit16</f>
        <v>5.554251226374303</v>
      </c>
      <c r="R12" s="41">
        <f>J20+orbit09+orbit17</f>
        <v>6.451824170136996</v>
      </c>
      <c r="S12" s="41">
        <f>J21+orbit09+orbit18</f>
        <v>5.920638973901128</v>
      </c>
      <c r="T12" s="41">
        <f>J22+orbit09+orbit19</f>
        <v>5.917689871897343</v>
      </c>
      <c r="U12" s="41" t="e">
        <f>J23+orbit09+orbit20</f>
        <v>#NUM!</v>
      </c>
      <c r="V12" s="41">
        <f>J24+orbit09+orbit21</f>
        <v>5.828558090969485</v>
      </c>
      <c r="W12" s="41" t="e">
        <f>J25+orbit09+orbit22</f>
        <v>#NUM!</v>
      </c>
      <c r="X12" s="41">
        <f>J26+orbit09+orbit23</f>
        <v>5.804868821383154</v>
      </c>
      <c r="Y12" s="41">
        <f>J27+orbit09+orbit24</f>
        <v>5.775850060144474</v>
      </c>
      <c r="Z12" s="41">
        <f>J28+orbit09+orbit25</f>
        <v>5.771765515256527</v>
      </c>
      <c r="AA12" s="41">
        <f>J29+orbit09+orbit26</f>
        <v>5.765515434263213</v>
      </c>
      <c r="AB12" s="41" t="e">
        <f>J30+orbit09+orbit27</f>
        <v>#NUM!</v>
      </c>
      <c r="AC12" s="41" t="e">
        <f>J31+orbit09+orbit28</f>
        <v>#NUM!</v>
      </c>
      <c r="AD12" s="41" t="e">
        <f>J32+orbit09+orbit29</f>
        <v>#NUM!</v>
      </c>
      <c r="AE12" s="41" t="e">
        <f>J33+orbit09+orbit30</f>
        <v>#NUM!</v>
      </c>
      <c r="AF12" s="19" t="str">
        <f>Data!A15</f>
        <v>Calypso (SXIV)</v>
      </c>
    </row>
    <row r="13" spans="1:32" ht="12.75">
      <c r="A13" s="3" t="str">
        <f>Data!A16</f>
        <v>Tethys (SIII)</v>
      </c>
      <c r="B13" s="42">
        <f>(ABS((SQRT(2-1/((1+(Data!$D16/Data!$D$7))/2))-1)+ABS(SQRT(2/(Data!$D16/Data!$D$7)-1/((1+(Data!$D16/Data!$D$7))/2))-SQRT(1/(Data!$D16/Data!$D$7)))))*Data!$G$7</f>
        <v>5.30114555687177</v>
      </c>
      <c r="C13" s="42">
        <f>(ABS((SQRT(2-1/((1+(Data!$D16/Data!$D$8))/2))-1)+ABS(SQRT(2/(Data!$D16/Data!$D$8)-1/((1+(Data!$D16/Data!$D$8))/2))-SQRT(1/(Data!$D16/Data!$D$8)))))*Data!$G$8</f>
        <v>5.07230897302815</v>
      </c>
      <c r="D13" s="42">
        <f>(ABS((SQRT(2-1/((1+(Data!$D16/Data!$D$9))/2))-1)+ABS(SQRT(2/(Data!$D16/Data!$D$9)-1/((1+(Data!$D16/Data!$D$9))/2))-SQRT(1/(Data!$D16/Data!$D$9)))))*Data!$G$9</f>
        <v>4.9805823071381194</v>
      </c>
      <c r="E13" s="42">
        <f>(ABS((SQRT(2-1/((1+(Data!$D16/Data!$D$10))/2))-1)+ABS(SQRT(2/(Data!$D16/Data!$D$10)-1/((1+(Data!$D16/Data!$D$10))/2))-SQRT(1/(Data!$D16/Data!$D$10)))))*Data!$G$10</f>
        <v>4.85500827760364</v>
      </c>
      <c r="F13" s="42">
        <f>(ABS((SQRT(2-1/((1+(Data!$D16/Data!$D$11))/2))-1)+ABS(SQRT(2/(Data!$D16/Data!$D$11)-1/((1+(Data!$D16/Data!$D$11))/2))-SQRT(1/(Data!$D16/Data!$D$11)))))*Data!$G$11</f>
        <v>4.361993643384739</v>
      </c>
      <c r="G13" s="42">
        <f>(ABS((SQRT(2-1/((1+(Data!$D16/Data!$D$12))/2))-1)+ABS(SQRT(2/(Data!$D16/Data!$D$12)-1/((1+(Data!$D16/Data!$D$12))/2))-SQRT(1/(Data!$D16/Data!$D$12)))))*Data!$G$12</f>
        <v>4.3595646722905625</v>
      </c>
      <c r="H13" s="42">
        <f>(ABS((SQRT(2-1/((1+(Data!$D16/Data!$D$13))/2))-1)+ABS(SQRT(2/(Data!$D16/Data!$D$13)-1/((1+(Data!$D16/Data!$D$13))/2))-SQRT(1/(Data!$D16/Data!$D$13)))))*Data!$G$13</f>
        <v>2.914352464572592</v>
      </c>
      <c r="I13" s="42">
        <f>(ABS((SQRT(2-1/((1+(Data!$D16/Data!$D$14))/2))-1)+ABS(SQRT(2/(Data!$D16/Data!$D$14)-1/((1+(Data!$D16/Data!$D$14))/2))-SQRT(1/(Data!$D16/Data!$D$14)))))*Data!$G$14</f>
        <v>1.2743859748684785</v>
      </c>
      <c r="J13" s="42">
        <f>(ABS((SQRT(2-1/((1+(Data!$D16/Data!$D$15))/2))-1)+ABS(SQRT(2/(Data!$D16/Data!$D$15)-1/((1+(Data!$D16/Data!$D$15))/2))-SQRT(1/(Data!$D16/Data!$D$15)))))*Data!$G$15</f>
        <v>0</v>
      </c>
      <c r="K13" s="40">
        <f>(SQRT(G*Data!$B16/Data!$C16))/1000</f>
        <v>0.28096770109143115</v>
      </c>
      <c r="L13" s="43">
        <f>K14+orbit10+orbit11</f>
        <v>0.28720675817831004</v>
      </c>
      <c r="M13" s="43">
        <f>K15+orbit10+orbit12</f>
        <v>1.9585902108976758</v>
      </c>
      <c r="N13" s="43">
        <f>K16+orbit10+orbit13</f>
        <v>1.6077305788822236</v>
      </c>
      <c r="O13" s="43">
        <f>K17+orbit10+orbit14</f>
        <v>3.5338404706297486</v>
      </c>
      <c r="P13" s="43">
        <f>K18+orbit10+orbit15</f>
        <v>7.303473573378638</v>
      </c>
      <c r="Q13" s="43">
        <f>K19+orbit10+orbit16</f>
        <v>5.830052497363623</v>
      </c>
      <c r="R13" s="43">
        <f>K20+orbit10+orbit17</f>
        <v>6.7276254411263166</v>
      </c>
      <c r="S13" s="43">
        <f>K21+orbit10+orbit18</f>
        <v>6.196440244890448</v>
      </c>
      <c r="T13" s="43">
        <f>K22+orbit10+orbit19</f>
        <v>6.193491142886663</v>
      </c>
      <c r="U13" s="43" t="e">
        <f>K23+orbit10+orbit20</f>
        <v>#NUM!</v>
      </c>
      <c r="V13" s="43">
        <f>K24+orbit10+orbit21</f>
        <v>6.104359361958806</v>
      </c>
      <c r="W13" s="43" t="e">
        <f>K25+orbit10+orbit22</f>
        <v>#NUM!</v>
      </c>
      <c r="X13" s="43">
        <f>K26+orbit10+orbit23</f>
        <v>6.080670092372475</v>
      </c>
      <c r="Y13" s="43">
        <f>K27+orbit10+orbit24</f>
        <v>6.051651331133795</v>
      </c>
      <c r="Z13" s="43">
        <f>K28+orbit10+orbit25</f>
        <v>6.047566786245847</v>
      </c>
      <c r="AA13" s="43">
        <f>K29+orbit10+orbit26</f>
        <v>6.041316705252533</v>
      </c>
      <c r="AB13" s="43" t="e">
        <f>K30+orbit10+orbit27</f>
        <v>#NUM!</v>
      </c>
      <c r="AC13" s="43" t="e">
        <f>K31+orbit10+orbit28</f>
        <v>#NUM!</v>
      </c>
      <c r="AD13" s="43" t="e">
        <f>K32+orbit10+orbit29</f>
        <v>#NUM!</v>
      </c>
      <c r="AE13" s="43" t="e">
        <f>K33+orbit10+orbit30</f>
        <v>#NUM!</v>
      </c>
      <c r="AF13" s="19" t="str">
        <f>Data!A16</f>
        <v>Tethys (SIII)</v>
      </c>
    </row>
    <row r="14" spans="1:32" ht="12.75">
      <c r="A14" s="3" t="str">
        <f>Data!A17</f>
        <v>Telesto (SXIII)</v>
      </c>
      <c r="B14" s="44">
        <f>(ABS((SQRT(2-1/((1+(Data!$D17/Data!$D$7))/2))-1)+ABS(SQRT(2/(Data!$D17/Data!$D$7)-1/((1+(Data!$D17/Data!$D$7))/2))-SQRT(1/(Data!$D17/Data!$D$7)))))*Data!$G$7</f>
        <v>5.30114555687177</v>
      </c>
      <c r="C14" s="44">
        <f>(ABS((SQRT(2-1/((1+(Data!$D17/Data!$D$8))/2))-1)+ABS(SQRT(2/(Data!$D17/Data!$D$8)-1/((1+(Data!$D17/Data!$D$8))/2))-SQRT(1/(Data!$D17/Data!$D$8)))))*Data!$G$8</f>
        <v>5.07230897302815</v>
      </c>
      <c r="D14" s="44">
        <f>(ABS((SQRT(2-1/((1+(Data!$D17/Data!$D$9))/2))-1)+ABS(SQRT(2/(Data!$D17/Data!$D$9)-1/((1+(Data!$D17/Data!$D$9))/2))-SQRT(1/(Data!$D17/Data!$D$9)))))*Data!$G$9</f>
        <v>4.9805823071381194</v>
      </c>
      <c r="E14" s="44">
        <f>(ABS((SQRT(2-1/((1+(Data!$D17/Data!$D$10))/2))-1)+ABS(SQRT(2/(Data!$D17/Data!$D$10)-1/((1+(Data!$D17/Data!$D$10))/2))-SQRT(1/(Data!$D17/Data!$D$10)))))*Data!$G$10</f>
        <v>4.85500827760364</v>
      </c>
      <c r="F14" s="44">
        <f>(ABS((SQRT(2-1/((1+(Data!$D17/Data!$D$11))/2))-1)+ABS(SQRT(2/(Data!$D17/Data!$D$11)-1/((1+(Data!$D17/Data!$D$11))/2))-SQRT(1/(Data!$D17/Data!$D$11)))))*Data!$G$11</f>
        <v>4.361993643384739</v>
      </c>
      <c r="G14" s="44">
        <f>(ABS((SQRT(2-1/((1+(Data!$D17/Data!$D$12))/2))-1)+ABS(SQRT(2/(Data!$D17/Data!$D$12)-1/((1+(Data!$D17/Data!$D$12))/2))-SQRT(1/(Data!$D17/Data!$D$12)))))*Data!$G$12</f>
        <v>4.3595646722905625</v>
      </c>
      <c r="H14" s="44">
        <f>(ABS((SQRT(2-1/((1+(Data!$D17/Data!$D$13))/2))-1)+ABS(SQRT(2/(Data!$D17/Data!$D$13)-1/((1+(Data!$D17/Data!$D$13))/2))-SQRT(1/(Data!$D17/Data!$D$13)))))*Data!$G$13</f>
        <v>2.914352464572592</v>
      </c>
      <c r="I14" s="44">
        <f>(ABS((SQRT(2-1/((1+(Data!$D17/Data!$D$14))/2))-1)+ABS(SQRT(2/(Data!$D17/Data!$D$14)-1/((1+(Data!$D17/Data!$D$14))/2))-SQRT(1/(Data!$D17/Data!$D$14)))))*Data!$G$14</f>
        <v>1.2743859748684785</v>
      </c>
      <c r="J14" s="44">
        <f>(ABS((SQRT(2-1/((1+(Data!$D17/Data!$D$15))/2))-1)+ABS(SQRT(2/(Data!$D17/Data!$D$15)-1/((1+(Data!$D17/Data!$D$15))/2))-SQRT(1/(Data!$D17/Data!$D$15)))))*Data!$G$15</f>
        <v>0</v>
      </c>
      <c r="K14" s="44">
        <f>(ABS((SQRT(2-1/((1+(Data!$D17/Data!$D$16))/2))-1)+ABS(SQRT(2/(Data!$D17/Data!$D$16)-1/((1+(Data!$D17/Data!$D$16))/2))-SQRT(1/(Data!$D17/Data!$D$16)))))*Data!$G$16</f>
        <v>0</v>
      </c>
      <c r="L14" s="40">
        <f>(SQRT(G*Data!$B17/Data!$C17))/1000</f>
        <v>0.00623905708687886</v>
      </c>
      <c r="M14" s="41">
        <f>L15+orbit11+orbit12</f>
        <v>1.6838615668931236</v>
      </c>
      <c r="N14" s="41">
        <f>L16+orbit11+orbit13</f>
        <v>1.3330019348776714</v>
      </c>
      <c r="O14" s="41">
        <f>L17+orbit11+orbit14</f>
        <v>3.259111826625196</v>
      </c>
      <c r="P14" s="41">
        <f>L18+orbit11+orbit15</f>
        <v>7.028744929374086</v>
      </c>
      <c r="Q14" s="41">
        <f>L19+orbit11+orbit16</f>
        <v>5.555323853359071</v>
      </c>
      <c r="R14" s="41">
        <f>L20+orbit11+orbit17</f>
        <v>6.452896797121764</v>
      </c>
      <c r="S14" s="41">
        <f>L21+orbit11+orbit18</f>
        <v>5.921711600885896</v>
      </c>
      <c r="T14" s="41">
        <f>L22+orbit11+orbit19</f>
        <v>5.918762498882111</v>
      </c>
      <c r="U14" s="41" t="e">
        <f>L23+orbit11+orbit20</f>
        <v>#NUM!</v>
      </c>
      <c r="V14" s="41">
        <f>L24+orbit11+orbit21</f>
        <v>5.829630717954253</v>
      </c>
      <c r="W14" s="41" t="e">
        <f>L25+orbit11+orbit22</f>
        <v>#NUM!</v>
      </c>
      <c r="X14" s="41">
        <f>L26+orbit11+orbit23</f>
        <v>5.805941448367922</v>
      </c>
      <c r="Y14" s="41">
        <f>L27+orbit11+orbit24</f>
        <v>5.776922687129242</v>
      </c>
      <c r="Z14" s="41">
        <f>L28+orbit11+orbit25</f>
        <v>5.772838142241294</v>
      </c>
      <c r="AA14" s="41">
        <f>L29+orbit11+orbit26</f>
        <v>5.7665880612479805</v>
      </c>
      <c r="AB14" s="41" t="e">
        <f>L30+orbit11+orbit27</f>
        <v>#NUM!</v>
      </c>
      <c r="AC14" s="41" t="e">
        <f>L31+orbit11+orbit28</f>
        <v>#NUM!</v>
      </c>
      <c r="AD14" s="41" t="e">
        <f>L32+orbit11+orbit29</f>
        <v>#NUM!</v>
      </c>
      <c r="AE14" s="41" t="e">
        <f>L33+orbit11+orbit30</f>
        <v>#NUM!</v>
      </c>
      <c r="AF14" s="19" t="str">
        <f>Data!A17</f>
        <v>Telesto (SXIII)</v>
      </c>
    </row>
    <row r="15" spans="1:32" ht="12.75">
      <c r="A15" s="3" t="str">
        <f>Data!A18</f>
        <v>Dione (SIV)</v>
      </c>
      <c r="B15" s="42">
        <f>(ABS((SQRT(2-1/((1+(Data!$D18/Data!$D$7))/2))-1)+ABS(SQRT(2/(Data!$D18/Data!$D$7)-1/((1+(Data!$D18/Data!$D$7))/2))-SQRT(1/(Data!$D18/Data!$D$7)))))*Data!$G$7</f>
        <v>6.405742551809643</v>
      </c>
      <c r="C15" s="42">
        <f>(ABS((SQRT(2-1/((1+(Data!$D18/Data!$D$8))/2))-1)+ABS(SQRT(2/(Data!$D18/Data!$D$8)-1/((1+(Data!$D18/Data!$D$8))/2))-SQRT(1/(Data!$D18/Data!$D$8)))))*Data!$G$8</f>
        <v>6.190456603778165</v>
      </c>
      <c r="D15" s="42">
        <f>(ABS((SQRT(2-1/((1+(Data!$D18/Data!$D$9))/2))-1)+ABS(SQRT(2/(Data!$D18/Data!$D$9)-1/((1+(Data!$D18/Data!$D$9))/2))-SQRT(1/(Data!$D18/Data!$D$9)))))*Data!$G$9</f>
        <v>6.104087180711358</v>
      </c>
      <c r="E15" s="42">
        <f>(ABS((SQRT(2-1/((1+(Data!$D18/Data!$D$10))/2))-1)+ABS(SQRT(2/(Data!$D18/Data!$D$10)-1/((1+(Data!$D18/Data!$D$10))/2))-SQRT(1/(Data!$D18/Data!$D$10)))))*Data!$G$10</f>
        <v>5.985775560349916</v>
      </c>
      <c r="F15" s="42">
        <f>(ABS((SQRT(2-1/((1+(Data!$D18/Data!$D$11))/2))-1)+ABS(SQRT(2/(Data!$D18/Data!$D$11)-1/((1+(Data!$D18/Data!$D$11))/2))-SQRT(1/(Data!$D18/Data!$D$11)))))*Data!$G$11</f>
        <v>5.520424284791785</v>
      </c>
      <c r="G15" s="42">
        <f>(ABS((SQRT(2-1/((1+(Data!$D18/Data!$D$12))/2))-1)+ABS(SQRT(2/(Data!$D18/Data!$D$12)-1/((1+(Data!$D18/Data!$D$12))/2))-SQRT(1/(Data!$D18/Data!$D$12)))))*Data!$G$12</f>
        <v>5.518128081363795</v>
      </c>
      <c r="H15" s="42">
        <f>(ABS((SQRT(2-1/((1+(Data!$D18/Data!$D$13))/2))-1)+ABS(SQRT(2/(Data!$D18/Data!$D$13)-1/((1+(Data!$D18/Data!$D$13))/2))-SQRT(1/(Data!$D18/Data!$D$13)))))*Data!$G$13</f>
        <v>4.1447857539422985</v>
      </c>
      <c r="I15" s="42">
        <f>(ABS((SQRT(2-1/((1+(Data!$D18/Data!$D$14))/2))-1)+ABS(SQRT(2/(Data!$D18/Data!$D$14)-1/((1+(Data!$D18/Data!$D$14))/2))-SQRT(1/(Data!$D18/Data!$D$14)))))*Data!$G$14</f>
        <v>2.564744715526512</v>
      </c>
      <c r="J15" s="42">
        <f>(ABS((SQRT(2-1/((1+(Data!$D18/Data!$D$15))/2))-1)+ABS(SQRT(2/(Data!$D18/Data!$D$15)-1/((1+(Data!$D18/Data!$D$15))/2))-SQRT(1/(Data!$D18/Data!$D$15)))))*Data!$G$15</f>
        <v>1.3155772285025302</v>
      </c>
      <c r="K15" s="42">
        <f>(ABS((SQRT(2-1/((1+(Data!$D18/Data!$D$16))/2))-1)+ABS(SQRT(2/(Data!$D18/Data!$D$16)-1/((1+(Data!$D18/Data!$D$16))/2))-SQRT(1/(Data!$D18/Data!$D$16)))))*Data!$G$16</f>
        <v>1.3155772285025302</v>
      </c>
      <c r="L15" s="42">
        <f>(ABS((SQRT(2-1/((1+(Data!$D18/Data!$D$17))/2))-1)+ABS(SQRT(2/(Data!$D18/Data!$D$17)-1/((1+(Data!$D18/Data!$D$17))/2))-SQRT(1/(Data!$D18/Data!$D$17)))))*Data!$G$17</f>
        <v>1.3155772285025302</v>
      </c>
      <c r="M15" s="40">
        <f>(SQRT(G*Data!$B18/Data!$C18))/1000</f>
        <v>0.36204528130371444</v>
      </c>
      <c r="N15" s="43">
        <f>M16+orbit12+orbit13</f>
        <v>0.3732309305919766</v>
      </c>
      <c r="O15" s="43">
        <f>M17+orbit12+orbit14</f>
        <v>2.34239631741753</v>
      </c>
      <c r="P15" s="43">
        <f>M18+orbit12+orbit15</f>
        <v>6.340685749594086</v>
      </c>
      <c r="Q15" s="43">
        <f>M19+orbit12+orbit16</f>
        <v>4.924827071269808</v>
      </c>
      <c r="R15" s="43">
        <f>M20+orbit12+orbit17</f>
        <v>6.0377705511423185</v>
      </c>
      <c r="S15" s="43">
        <f>M21+orbit12+orbit18</f>
        <v>5.652421349712187</v>
      </c>
      <c r="T15" s="43">
        <f>M22+orbit12+orbit19</f>
        <v>5.649926149056465</v>
      </c>
      <c r="U15" s="43" t="e">
        <f>M23+orbit12+orbit20</f>
        <v>#NUM!</v>
      </c>
      <c r="V15" s="43">
        <f>M24+orbit12+orbit21</f>
        <v>5.5792683667011165</v>
      </c>
      <c r="W15" s="43" t="e">
        <f>M25+orbit12+orbit22</f>
        <v>#NUM!</v>
      </c>
      <c r="X15" s="43">
        <f>M26+orbit12+orbit23</f>
        <v>5.559723034005014</v>
      </c>
      <c r="Y15" s="43">
        <f>M27+orbit12+orbit24</f>
        <v>5.534390512488377</v>
      </c>
      <c r="Z15" s="43">
        <f>M28+orbit12+orbit25</f>
        <v>5.53181101961546</v>
      </c>
      <c r="AA15" s="43">
        <f>M29+orbit12+orbit26</f>
        <v>5.525772535326609</v>
      </c>
      <c r="AB15" s="43" t="e">
        <f>M30+orbit12+orbit27</f>
        <v>#NUM!</v>
      </c>
      <c r="AC15" s="43" t="e">
        <f>M31+orbit12+orbit28</f>
        <v>#NUM!</v>
      </c>
      <c r="AD15" s="43" t="e">
        <f>M32+orbit12+orbit29</f>
        <v>#NUM!</v>
      </c>
      <c r="AE15" s="43" t="e">
        <f>M33+orbit12+orbit30</f>
        <v>#NUM!</v>
      </c>
      <c r="AF15" s="19" t="str">
        <f>Data!A18</f>
        <v>Dione (SIV)</v>
      </c>
    </row>
    <row r="16" spans="1:32" ht="12.75">
      <c r="A16" s="3" t="str">
        <f>Data!A19</f>
        <v>Helene (SXII)</v>
      </c>
      <c r="B16" s="44">
        <f>(ABS((SQRT(2-1/((1+(Data!$D19/Data!$D$7))/2))-1)+ABS(SQRT(2/(Data!$D19/Data!$D$7)-1/((1+(Data!$D19/Data!$D$7))/2))-SQRT(1/(Data!$D19/Data!$D$7)))))*Data!$G$7</f>
        <v>6.405742551809643</v>
      </c>
      <c r="C16" s="44">
        <f>(ABS((SQRT(2-1/((1+(Data!$D19/Data!$D$8))/2))-1)+ABS(SQRT(2/(Data!$D19/Data!$D$8)-1/((1+(Data!$D19/Data!$D$8))/2))-SQRT(1/(Data!$D19/Data!$D$8)))))*Data!$G$8</f>
        <v>6.190456603778165</v>
      </c>
      <c r="D16" s="44">
        <f>(ABS((SQRT(2-1/((1+(Data!$D19/Data!$D$9))/2))-1)+ABS(SQRT(2/(Data!$D19/Data!$D$9)-1/((1+(Data!$D19/Data!$D$9))/2))-SQRT(1/(Data!$D19/Data!$D$9)))))*Data!$G$9</f>
        <v>6.104087180711358</v>
      </c>
      <c r="E16" s="44">
        <f>(ABS((SQRT(2-1/((1+(Data!$D19/Data!$D$10))/2))-1)+ABS(SQRT(2/(Data!$D19/Data!$D$10)-1/((1+(Data!$D19/Data!$D$10))/2))-SQRT(1/(Data!$D19/Data!$D$10)))))*Data!$G$10</f>
        <v>5.985775560349916</v>
      </c>
      <c r="F16" s="44">
        <f>(ABS((SQRT(2-1/((1+(Data!$D19/Data!$D$11))/2))-1)+ABS(SQRT(2/(Data!$D19/Data!$D$11)-1/((1+(Data!$D19/Data!$D$11))/2))-SQRT(1/(Data!$D19/Data!$D$11)))))*Data!$G$11</f>
        <v>5.520424284791785</v>
      </c>
      <c r="G16" s="44">
        <f>(ABS((SQRT(2-1/((1+(Data!$D19/Data!$D$12))/2))-1)+ABS(SQRT(2/(Data!$D19/Data!$D$12)-1/((1+(Data!$D19/Data!$D$12))/2))-SQRT(1/(Data!$D19/Data!$D$12)))))*Data!$G$12</f>
        <v>5.518128081363795</v>
      </c>
      <c r="H16" s="44">
        <f>(ABS((SQRT(2-1/((1+(Data!$D19/Data!$D$13))/2))-1)+ABS(SQRT(2/(Data!$D19/Data!$D$13)-1/((1+(Data!$D19/Data!$D$13))/2))-SQRT(1/(Data!$D19/Data!$D$13)))))*Data!$G$13</f>
        <v>4.1447857539422985</v>
      </c>
      <c r="I16" s="44">
        <f>(ABS((SQRT(2-1/((1+(Data!$D19/Data!$D$14))/2))-1)+ABS(SQRT(2/(Data!$D19/Data!$D$14)-1/((1+(Data!$D19/Data!$D$14))/2))-SQRT(1/(Data!$D19/Data!$D$14)))))*Data!$G$14</f>
        <v>2.564744715526512</v>
      </c>
      <c r="J16" s="44">
        <f>(ABS((SQRT(2-1/((1+(Data!$D19/Data!$D$15))/2))-1)+ABS(SQRT(2/(Data!$D19/Data!$D$15)-1/((1+(Data!$D19/Data!$D$15))/2))-SQRT(1/(Data!$D19/Data!$D$15)))))*Data!$G$15</f>
        <v>1.3155772285025302</v>
      </c>
      <c r="K16" s="44">
        <f>(ABS((SQRT(2-1/((1+(Data!$D19/Data!$D$16))/2))-1)+ABS(SQRT(2/(Data!$D19/Data!$D$16)-1/((1+(Data!$D19/Data!$D$16))/2))-SQRT(1/(Data!$D19/Data!$D$16)))))*Data!$G$16</f>
        <v>1.3155772285025302</v>
      </c>
      <c r="L16" s="44">
        <f>(ABS((SQRT(2-1/((1+(Data!$D19/Data!$D$17))/2))-1)+ABS(SQRT(2/(Data!$D19/Data!$D$17)-1/((1+(Data!$D19/Data!$D$17))/2))-SQRT(1/(Data!$D19/Data!$D$17)))))*Data!$G$17</f>
        <v>1.3155772285025302</v>
      </c>
      <c r="M16" s="44">
        <f>(ABS((SQRT(2-1/((1+(Data!$D19/Data!$D$18))/2))-1)+ABS(SQRT(2/(Data!$D19/Data!$D$18)-1/((1+(Data!$D19/Data!$D$18))/2))-SQRT(1/(Data!$D19/Data!$D$18)))))*Data!$G$18</f>
        <v>0</v>
      </c>
      <c r="N16" s="40">
        <f>(SQRT(G*Data!$B19/Data!$C19))/1000</f>
        <v>0.011185649288262172</v>
      </c>
      <c r="O16" s="41">
        <f>N17+orbit13+orbit14</f>
        <v>1.9915366854020777</v>
      </c>
      <c r="P16" s="41">
        <f>N18+orbit13+orbit15</f>
        <v>5.989826117578634</v>
      </c>
      <c r="Q16" s="41">
        <f>N19+orbit13+orbit16</f>
        <v>4.573967439254356</v>
      </c>
      <c r="R16" s="41">
        <f>N20+orbit13+orbit17</f>
        <v>5.686910919126866</v>
      </c>
      <c r="S16" s="41">
        <f>N21+orbit13+orbit18</f>
        <v>5.3015617176967345</v>
      </c>
      <c r="T16" s="41">
        <f>N22+orbit13+orbit19</f>
        <v>5.2990665170410125</v>
      </c>
      <c r="U16" s="41" t="e">
        <f>N23+orbit13+orbit20</f>
        <v>#NUM!</v>
      </c>
      <c r="V16" s="41">
        <f>N24+orbit13+orbit21</f>
        <v>5.228408734685664</v>
      </c>
      <c r="W16" s="41" t="e">
        <f>N25+orbit13+orbit22</f>
        <v>#NUM!</v>
      </c>
      <c r="X16" s="41">
        <f>N26+orbit13+orbit23</f>
        <v>5.208863401989562</v>
      </c>
      <c r="Y16" s="41">
        <f>N27+orbit13+orbit24</f>
        <v>5.183530880472925</v>
      </c>
      <c r="Z16" s="41">
        <f>N28+orbit13+orbit25</f>
        <v>5.1809513876000075</v>
      </c>
      <c r="AA16" s="41">
        <f>N29+orbit13+orbit26</f>
        <v>5.1749129033111565</v>
      </c>
      <c r="AB16" s="41" t="e">
        <f>N30+orbit13+orbit27</f>
        <v>#NUM!</v>
      </c>
      <c r="AC16" s="41" t="e">
        <f>N31+orbit13+orbit28</f>
        <v>#NUM!</v>
      </c>
      <c r="AD16" s="41" t="e">
        <f>N32+orbit13+orbit29</f>
        <v>#NUM!</v>
      </c>
      <c r="AE16" s="41" t="e">
        <f>N33+orbit13+orbit30</f>
        <v>#NUM!</v>
      </c>
      <c r="AF16" s="19" t="str">
        <f>Data!A19</f>
        <v>Helene (SXII)</v>
      </c>
    </row>
    <row r="17" spans="1:32" ht="12.75">
      <c r="A17" s="3" t="str">
        <f>Data!A20</f>
        <v>Rhea (SV)</v>
      </c>
      <c r="B17" s="42">
        <f>(ABS((SQRT(2-1/((1+(Data!$D20/Data!$D$7))/2))-1)+ABS(SQRT(2/(Data!$D20/Data!$D$7)-1/((1+(Data!$D20/Data!$D$7))/2))-SQRT(1/(Data!$D20/Data!$D$7)))))*Data!$G$7</f>
        <v>7.523310756944241</v>
      </c>
      <c r="C17" s="42">
        <f>(ABS((SQRT(2-1/((1+(Data!$D20/Data!$D$8))/2))-1)+ABS(SQRT(2/(Data!$D20/Data!$D$8)-1/((1+(Data!$D20/Data!$D$8))/2))-SQRT(1/(Data!$D20/Data!$D$8)))))*Data!$G$8</f>
        <v>7.327381990050812</v>
      </c>
      <c r="D17" s="42">
        <f>(ABS((SQRT(2-1/((1+(Data!$D20/Data!$D$9))/2))-1)+ABS(SQRT(2/(Data!$D20/Data!$D$9)-1/((1+(Data!$D20/Data!$D$9))/2))-SQRT(1/(Data!$D20/Data!$D$9)))))*Data!$G$9</f>
        <v>7.248729169427852</v>
      </c>
      <c r="E17" s="42">
        <f>(ABS((SQRT(2-1/((1+(Data!$D20/Data!$D$10))/2))-1)+ABS(SQRT(2/(Data!$D20/Data!$D$10)-1/((1+(Data!$D20/Data!$D$10))/2))-SQRT(1/(Data!$D20/Data!$D$10)))))*Data!$G$10</f>
        <v>7.140939430800237</v>
      </c>
      <c r="F17" s="42">
        <f>(ABS((SQRT(2-1/((1+(Data!$D20/Data!$D$11))/2))-1)+ABS(SQRT(2/(Data!$D20/Data!$D$11)-1/((1+(Data!$D20/Data!$D$11))/2))-SQRT(1/(Data!$D20/Data!$D$11)))))*Data!$G$11</f>
        <v>6.716376245068094</v>
      </c>
      <c r="G17" s="42">
        <f>(ABS((SQRT(2-1/((1+(Data!$D20/Data!$D$12))/2))-1)+ABS(SQRT(2/(Data!$D20/Data!$D$12)-1/((1+(Data!$D20/Data!$D$12))/2))-SQRT(1/(Data!$D20/Data!$D$12)))))*Data!$G$12</f>
        <v>6.714278756326621</v>
      </c>
      <c r="H17" s="42">
        <f>(ABS((SQRT(2-1/((1+(Data!$D20/Data!$D$13))/2))-1)+ABS(SQRT(2/(Data!$D20/Data!$D$13)-1/((1+(Data!$D20/Data!$D$13))/2))-SQRT(1/(Data!$D20/Data!$D$13)))))*Data!$G$13</f>
        <v>5.454191681179112</v>
      </c>
      <c r="I17" s="42">
        <f>(ABS((SQRT(2-1/((1+(Data!$D20/Data!$D$14))/2))-1)+ABS(SQRT(2/(Data!$D20/Data!$D$14)-1/((1+(Data!$D20/Data!$D$14))/2))-SQRT(1/(Data!$D20/Data!$D$14)))))*Data!$G$14</f>
        <v>3.985575295511007</v>
      </c>
      <c r="J17" s="42">
        <f>(ABS((SQRT(2-1/((1+(Data!$D20/Data!$D$15))/2))-1)+ABS(SQRT(2/(Data!$D20/Data!$D$15)-1/((1+(Data!$D20/Data!$D$15))/2))-SQRT(1/(Data!$D20/Data!$D$15)))))*Data!$G$15</f>
        <v>2.8036933256911296</v>
      </c>
      <c r="K17" s="42">
        <f>(ABS((SQRT(2-1/((1+(Data!$D20/Data!$D$16))/2))-1)+ABS(SQRT(2/(Data!$D20/Data!$D$16)-1/((1+(Data!$D20/Data!$D$16))/2))-SQRT(1/(Data!$D20/Data!$D$16)))))*Data!$G$16</f>
        <v>2.8036933256911296</v>
      </c>
      <c r="L17" s="42">
        <f>(ABS((SQRT(2-1/((1+(Data!$D20/Data!$D$17))/2))-1)+ABS(SQRT(2/(Data!$D20/Data!$D$17)-1/((1+(Data!$D20/Data!$D$17))/2))-SQRT(1/(Data!$D20/Data!$D$17)))))*Data!$G$17</f>
        <v>2.8036933256911296</v>
      </c>
      <c r="M17" s="42">
        <f>(ABS((SQRT(2-1/((1+(Data!$D20/Data!$D$18))/2))-1)+ABS(SQRT(2/(Data!$D20/Data!$D$18)-1/((1+(Data!$D20/Data!$D$18))/2))-SQRT(1/(Data!$D20/Data!$D$18)))))*Data!$G$18</f>
        <v>1.5311715922666276</v>
      </c>
      <c r="N17" s="42">
        <f>(ABS((SQRT(2-1/((1+(Data!$D20/Data!$D$19))/2))-1)+ABS(SQRT(2/(Data!$D20/Data!$D$19)-1/((1+(Data!$D20/Data!$D$19))/2))-SQRT(1/(Data!$D20/Data!$D$19)))))*Data!$G$19</f>
        <v>1.5311715922666276</v>
      </c>
      <c r="O17" s="40">
        <f>(SQRT(G*Data!$B20/Data!$C20))/1000</f>
        <v>0.449179443847188</v>
      </c>
      <c r="P17" s="43">
        <f>O18+orbit14+orbit15</f>
        <v>5.107237358648213</v>
      </c>
      <c r="Q17" s="43">
        <f>O19+orbit14+orbit16</f>
        <v>3.759093104799623</v>
      </c>
      <c r="R17" s="43">
        <f>O20+orbit14+orbit17</f>
        <v>5.154161427578023</v>
      </c>
      <c r="S17" s="43">
        <f>O21+orbit14+orbit18</f>
        <v>4.981067515687004</v>
      </c>
      <c r="T17" s="43">
        <f>O22+orbit14+orbit19</f>
        <v>4.979256850073881</v>
      </c>
      <c r="U17" s="43" t="e">
        <f>O23+orbit14+orbit20</f>
        <v>#NUM!</v>
      </c>
      <c r="V17" s="43">
        <f>O24+orbit14+orbit21</f>
        <v>4.936581625299597</v>
      </c>
      <c r="W17" s="43" t="e">
        <f>O25+orbit14+orbit22</f>
        <v>#NUM!</v>
      </c>
      <c r="X17" s="43">
        <f>O26+orbit14+orbit23</f>
        <v>4.923345588919554</v>
      </c>
      <c r="Y17" s="43">
        <f>O27+orbit14+orbit24</f>
        <v>4.903635459040223</v>
      </c>
      <c r="Z17" s="43">
        <f>O28+orbit14+orbit25</f>
        <v>4.90335421895156</v>
      </c>
      <c r="AA17" s="43">
        <f>O29+orbit14+orbit26</f>
        <v>4.897638973205433</v>
      </c>
      <c r="AB17" s="43" t="e">
        <f>O30+orbit14+orbit27</f>
        <v>#NUM!</v>
      </c>
      <c r="AC17" s="43" t="e">
        <f>O31+orbit14+orbit28</f>
        <v>#NUM!</v>
      </c>
      <c r="AD17" s="43" t="e">
        <f>O32+orbit14+orbit29</f>
        <v>#NUM!</v>
      </c>
      <c r="AE17" s="43" t="e">
        <f>O33+orbit14+orbit30</f>
        <v>#NUM!</v>
      </c>
      <c r="AF17" s="19" t="str">
        <f>Data!A20</f>
        <v>Rhea (SV)</v>
      </c>
    </row>
    <row r="18" spans="1:32" ht="12.75">
      <c r="A18" s="3" t="str">
        <f>Data!A21</f>
        <v>Titan (SVI)</v>
      </c>
      <c r="B18" s="44">
        <f>(ABS((SQRT(2-1/((1+(Data!$D21/Data!$D$7))/2))-1)+ABS(SQRT(2/(Data!$D21/Data!$D$7)-1/((1+(Data!$D21/Data!$D$7))/2))-SQRT(1/(Data!$D21/Data!$D$7)))))*Data!$G$7</f>
        <v>8.87340115734592</v>
      </c>
      <c r="C18" s="44">
        <f>(ABS((SQRT(2-1/((1+(Data!$D21/Data!$D$8))/2))-1)+ABS(SQRT(2/(Data!$D21/Data!$D$8)-1/((1+(Data!$D21/Data!$D$8))/2))-SQRT(1/(Data!$D21/Data!$D$8)))))*Data!$G$8</f>
        <v>8.719723324187093</v>
      </c>
      <c r="D18" s="44">
        <f>(ABS((SQRT(2-1/((1+(Data!$D21/Data!$D$9))/2))-1)+ABS(SQRT(2/(Data!$D21/Data!$D$9)-1/((1+(Data!$D21/Data!$D$9))/2))-SQRT(1/(Data!$D21/Data!$D$9)))))*Data!$G$9</f>
        <v>8.658069438592984</v>
      </c>
      <c r="E18" s="44">
        <f>(ABS((SQRT(2-1/((1+(Data!$D21/Data!$D$10))/2))-1)+ABS(SQRT(2/(Data!$D21/Data!$D$10)-1/((1+(Data!$D21/Data!$D$10))/2))-SQRT(1/(Data!$D21/Data!$D$10)))))*Data!$G$10</f>
        <v>8.573607853076814</v>
      </c>
      <c r="F18" s="44">
        <f>(ABS((SQRT(2-1/((1+(Data!$D21/Data!$D$11))/2))-1)+ABS(SQRT(2/(Data!$D21/Data!$D$11)-1/((1+(Data!$D21/Data!$D$11))/2))-SQRT(1/(Data!$D21/Data!$D$11)))))*Data!$G$11</f>
        <v>8.241227007811247</v>
      </c>
      <c r="G18" s="44">
        <f>(ABS((SQRT(2-1/((1+(Data!$D21/Data!$D$12))/2))-1)+ABS(SQRT(2/(Data!$D21/Data!$D$12)-1/((1+(Data!$D21/Data!$D$12))/2))-SQRT(1/(Data!$D21/Data!$D$12)))))*Data!$G$12</f>
        <v>8.239585884430179</v>
      </c>
      <c r="H18" s="44">
        <f>(ABS((SQRT(2-1/((1+(Data!$D21/Data!$D$13))/2))-1)+ABS(SQRT(2/(Data!$D21/Data!$D$13)-1/((1+(Data!$D21/Data!$D$13))/2))-SQRT(1/(Data!$D21/Data!$D$13)))))*Data!$G$13</f>
        <v>7.25395816141871</v>
      </c>
      <c r="I18" s="44">
        <f>(ABS((SQRT(2-1/((1+(Data!$D21/Data!$D$14))/2))-1)+ABS(SQRT(2/(Data!$D21/Data!$D$14)-1/((1+(Data!$D21/Data!$D$14))/2))-SQRT(1/(Data!$D21/Data!$D$14)))))*Data!$G$14</f>
        <v>6.099080779482198</v>
      </c>
      <c r="J18" s="44">
        <f>(ABS((SQRT(2-1/((1+(Data!$D21/Data!$D$15))/2))-1)+ABS(SQRT(2/(Data!$D21/Data!$D$15)-1/((1+(Data!$D21/Data!$D$15))/2))-SQRT(1/(Data!$D21/Data!$D$15)))))*Data!$G$15</f>
        <v>5.155207163987054</v>
      </c>
      <c r="K18" s="44">
        <f>(ABS((SQRT(2-1/((1+(Data!$D21/Data!$D$16))/2))-1)+ABS(SQRT(2/(Data!$D21/Data!$D$16)-1/((1+(Data!$D21/Data!$D$16))/2))-SQRT(1/(Data!$D21/Data!$D$16)))))*Data!$G$16</f>
        <v>5.155207163987054</v>
      </c>
      <c r="L18" s="44">
        <f>(ABS((SQRT(2-1/((1+(Data!$D21/Data!$D$17))/2))-1)+ABS(SQRT(2/(Data!$D21/Data!$D$17)-1/((1+(Data!$D21/Data!$D$17))/2))-SQRT(1/(Data!$D21/Data!$D$17)))))*Data!$G$17</f>
        <v>5.155207163987054</v>
      </c>
      <c r="M18" s="44">
        <f>(ABS((SQRT(2-1/((1+(Data!$D21/Data!$D$18))/2))-1)+ABS(SQRT(2/(Data!$D21/Data!$D$18)-1/((1+(Data!$D21/Data!$D$18))/2))-SQRT(1/(Data!$D21/Data!$D$18)))))*Data!$G$18</f>
        <v>4.111341759990219</v>
      </c>
      <c r="N18" s="44">
        <f>(ABS((SQRT(2-1/((1+(Data!$D21/Data!$D$19))/2))-1)+ABS(SQRT(2/(Data!$D21/Data!$D$19)-1/((1+(Data!$D21/Data!$D$19))/2))-SQRT(1/(Data!$D21/Data!$D$19)))))*Data!$G$19</f>
        <v>4.111341759990219</v>
      </c>
      <c r="O18" s="44">
        <f>(ABS((SQRT(2-1/((1+(Data!$D21/Data!$D$20))/2))-1)+ABS(SQRT(2/(Data!$D21/Data!$D$20)-1/((1+(Data!$D21/Data!$D$20))/2))-SQRT(1/(Data!$D21/Data!$D$20)))))*Data!$G$20</f>
        <v>2.790759206500873</v>
      </c>
      <c r="P18" s="40">
        <f>(SQRT(G*Data!$B21/Data!$C21))/1000</f>
        <v>1.8672987083001524</v>
      </c>
      <c r="Q18" s="41">
        <f>P19+orbit15+orbit16</f>
        <v>2.472861784786933</v>
      </c>
      <c r="R18" s="41">
        <f>P20+orbit15+orbit17</f>
        <v>4.4100591668897335</v>
      </c>
      <c r="S18" s="41">
        <f>P21+orbit15+orbit18</f>
        <v>4.808801566785624</v>
      </c>
      <c r="T18" s="41">
        <f>P22+orbit15+orbit19</f>
        <v>4.809057318557424</v>
      </c>
      <c r="U18" s="41" t="e">
        <f>P23+orbit15+orbit20</f>
        <v>#NUM!</v>
      </c>
      <c r="V18" s="41">
        <f>P24+orbit15+orbit21</f>
        <v>4.852100562854824</v>
      </c>
      <c r="W18" s="41" t="e">
        <f>P25+orbit15+orbit22</f>
        <v>#NUM!</v>
      </c>
      <c r="X18" s="41">
        <f>P26+orbit15+orbit23</f>
        <v>4.858529462716066</v>
      </c>
      <c r="Y18" s="41">
        <f>P27+orbit15+orbit24</f>
        <v>4.856448578899839</v>
      </c>
      <c r="Z18" s="41">
        <f>P28+orbit15+orbit25</f>
        <v>4.863402226240345</v>
      </c>
      <c r="AA18" s="41">
        <f>P29+orbit15+orbit26</f>
        <v>4.858705867367612</v>
      </c>
      <c r="AB18" s="41" t="e">
        <f>P30+orbit15+orbit27</f>
        <v>#NUM!</v>
      </c>
      <c r="AC18" s="41" t="e">
        <f>P31+orbit15+orbit28</f>
        <v>#NUM!</v>
      </c>
      <c r="AD18" s="41" t="e">
        <f>P32+orbit15+orbit29</f>
        <v>#NUM!</v>
      </c>
      <c r="AE18" s="41" t="e">
        <f>P33+orbit15+orbit30</f>
        <v>#NUM!</v>
      </c>
      <c r="AF18" s="19" t="str">
        <f>Data!A21</f>
        <v>Titan (SVI)</v>
      </c>
    </row>
    <row r="19" spans="1:32" ht="12.75">
      <c r="A19" s="3" t="str">
        <f>Data!A22</f>
        <v>Hyperion (SVII)</v>
      </c>
      <c r="B19" s="42">
        <f>(ABS((SQRT(2-1/((1+(Data!$D22/Data!$D$7))/2))-1)+ABS(SQRT(2/(Data!$D22/Data!$D$7)-1/((1+(Data!$D22/Data!$D$7))/2))-SQRT(1/(Data!$D22/Data!$D$7)))))*Data!$G$7</f>
        <v>8.975216082208263</v>
      </c>
      <c r="C19" s="42">
        <f>(ABS((SQRT(2-1/((1+(Data!$D22/Data!$D$8))/2))-1)+ABS(SQRT(2/(Data!$D22/Data!$D$8)-1/((1+(Data!$D22/Data!$D$8))/2))-SQRT(1/(Data!$D22/Data!$D$8)))))*Data!$G$8</f>
        <v>8.828874085597484</v>
      </c>
      <c r="D19" s="42">
        <f>(ABS((SQRT(2-1/((1+(Data!$D22/Data!$D$9))/2))-1)+ABS(SQRT(2/(Data!$D22/Data!$D$9)-1/((1+(Data!$D22/Data!$D$9))/2))-SQRT(1/(Data!$D22/Data!$D$9)))))*Data!$G$9</f>
        <v>8.770187631582349</v>
      </c>
      <c r="E19" s="42">
        <f>(ABS((SQRT(2-1/((1+(Data!$D22/Data!$D$10))/2))-1)+ABS(SQRT(2/(Data!$D22/Data!$D$10)-1/((1+(Data!$D22/Data!$D$10))/2))-SQRT(1/(Data!$D22/Data!$D$10)))))*Data!$G$10</f>
        <v>8.689813658057528</v>
      </c>
      <c r="F19" s="42">
        <f>(ABS((SQRT(2-1/((1+(Data!$D22/Data!$D$11))/2))-1)+ABS(SQRT(2/(Data!$D22/Data!$D$11)-1/((1+(Data!$D22/Data!$D$11))/2))-SQRT(1/(Data!$D22/Data!$D$11)))))*Data!$G$11</f>
        <v>8.373766061185853</v>
      </c>
      <c r="G19" s="42">
        <f>(ABS((SQRT(2-1/((1+(Data!$D22/Data!$D$12))/2))-1)+ABS(SQRT(2/(Data!$D22/Data!$D$12)-1/((1+(Data!$D22/Data!$D$12))/2))-SQRT(1/(Data!$D22/Data!$D$12)))))*Data!$G$12</f>
        <v>8.372206543998713</v>
      </c>
      <c r="H19" s="42">
        <f>(ABS((SQRT(2-1/((1+(Data!$D22/Data!$D$13))/2))-1)+ABS(SQRT(2/(Data!$D22/Data!$D$13)-1/((1+(Data!$D22/Data!$D$13))/2))-SQRT(1/(Data!$D22/Data!$D$13)))))*Data!$G$13</f>
        <v>7.437171105418746</v>
      </c>
      <c r="I19" s="42">
        <f>(ABS((SQRT(2-1/((1+(Data!$D22/Data!$D$14))/2))-1)+ABS(SQRT(2/(Data!$D22/Data!$D$14)-1/((1+(Data!$D22/Data!$D$14))/2))-SQRT(1/(Data!$D22/Data!$D$14)))))*Data!$G$14</f>
        <v>6.34484526088488</v>
      </c>
      <c r="J19" s="42">
        <f>(ABS((SQRT(2-1/((1+(Data!$D22/Data!$D$15))/2))-1)+ABS(SQRT(2/(Data!$D22/Data!$D$15)-1/((1+(Data!$D22/Data!$D$15))/2))-SQRT(1/(Data!$D22/Data!$D$15)))))*Data!$G$15</f>
        <v>5.4534757177785105</v>
      </c>
      <c r="K19" s="42">
        <f>(ABS((SQRT(2-1/((1+(Data!$D22/Data!$D$16))/2))-1)+ABS(SQRT(2/(Data!$D22/Data!$D$16)-1/((1+(Data!$D22/Data!$D$16))/2))-SQRT(1/(Data!$D22/Data!$D$16)))))*Data!$G$16</f>
        <v>5.4534757177785105</v>
      </c>
      <c r="L19" s="42">
        <f>(ABS((SQRT(2-1/((1+(Data!$D22/Data!$D$17))/2))-1)+ABS(SQRT(2/(Data!$D22/Data!$D$17)-1/((1+(Data!$D22/Data!$D$17))/2))-SQRT(1/(Data!$D22/Data!$D$17)))))*Data!$G$17</f>
        <v>5.4534757177785105</v>
      </c>
      <c r="M19" s="42">
        <f>(ABS((SQRT(2-1/((1+(Data!$D22/Data!$D$18))/2))-1)+ABS(SQRT(2/(Data!$D22/Data!$D$18)-1/((1+(Data!$D22/Data!$D$18))/2))-SQRT(1/(Data!$D22/Data!$D$18)))))*Data!$G$18</f>
        <v>4.467172711472412</v>
      </c>
      <c r="N19" s="42">
        <f>(ABS((SQRT(2-1/((1+(Data!$D22/Data!$D$19))/2))-1)+ABS(SQRT(2/(Data!$D22/Data!$D$19)-1/((1+(Data!$D22/Data!$D$19))/2))-SQRT(1/(Data!$D22/Data!$D$19)))))*Data!$G$19</f>
        <v>4.467172711472412</v>
      </c>
      <c r="O19" s="42">
        <f>(ABS((SQRT(2-1/((1+(Data!$D22/Data!$D$20))/2))-1)+ABS(SQRT(2/(Data!$D22/Data!$D$20)-1/((1+(Data!$D22/Data!$D$20))/2))-SQRT(1/(Data!$D22/Data!$D$20)))))*Data!$G$20</f>
        <v>3.214304582458754</v>
      </c>
      <c r="P19" s="42">
        <f>(ABS((SQRT(2-1/((1+(Data!$D22/Data!$D$21))/2))-1)+ABS(SQRT(2/(Data!$D22/Data!$D$21)-1/((1+(Data!$D22/Data!$D$21))/2))-SQRT(1/(Data!$D22/Data!$D$21)))))*Data!$G$21</f>
        <v>0.5099539979930995</v>
      </c>
      <c r="Q19" s="40">
        <f>(SQRT(G*Data!$B22/Data!$C22))/1000</f>
        <v>0.09560907849368155</v>
      </c>
      <c r="R19" s="43">
        <f>Q20+orbit16+orbit17</f>
        <v>2.1962029716328004</v>
      </c>
      <c r="S19" s="43">
        <f>Q21+orbit16+orbit18</f>
        <v>2.720118722339335</v>
      </c>
      <c r="T19" s="43">
        <f>Q22+orbit16+orbit19</f>
        <v>2.7208979095895414</v>
      </c>
      <c r="U19" s="43" t="e">
        <f>Q23+orbit16+orbit20</f>
        <v>#NUM!</v>
      </c>
      <c r="V19" s="43">
        <f>Q24+orbit16+orbit21</f>
        <v>2.786069582425506</v>
      </c>
      <c r="W19" s="43" t="e">
        <f>Q25+orbit16+orbit22</f>
        <v>#NUM!</v>
      </c>
      <c r="X19" s="43">
        <f>Q26+orbit16+orbit23</f>
        <v>2.7976884417057044</v>
      </c>
      <c r="Y19" s="43">
        <f>Q27+orbit16+orbit24</f>
        <v>2.8002958996515646</v>
      </c>
      <c r="Z19" s="43">
        <f>Q28+orbit16+orbit25</f>
        <v>2.8091833217499933</v>
      </c>
      <c r="AA19" s="43">
        <f>Q29+orbit16+orbit26</f>
        <v>2.8047597493628795</v>
      </c>
      <c r="AB19" s="43" t="e">
        <f>Q30+orbit16+orbit27</f>
        <v>#NUM!</v>
      </c>
      <c r="AC19" s="43" t="e">
        <f>Q31+orbit16+orbit28</f>
        <v>#NUM!</v>
      </c>
      <c r="AD19" s="43" t="e">
        <f>Q32+orbit16+orbit29</f>
        <v>#NUM!</v>
      </c>
      <c r="AE19" s="43" t="e">
        <f>Q33+orbit16+orbit30</f>
        <v>#NUM!</v>
      </c>
      <c r="AF19" s="19" t="str">
        <f>Data!A22</f>
        <v>Hyperion (SVII)</v>
      </c>
    </row>
    <row r="20" spans="1:32" ht="12.75">
      <c r="A20" s="3" t="str">
        <f>Data!A23</f>
        <v>Iapetus (SVIII)</v>
      </c>
      <c r="B20" s="44">
        <f>(ABS((SQRT(2-1/((1+(Data!$D23/Data!$D$7))/2))-1)+ABS(SQRT(2/(Data!$D23/Data!$D$7)-1/((1+(Data!$D23/Data!$D$7))/2))-SQRT(1/(Data!$D23/Data!$D$7)))))*Data!$G$7</f>
        <v>8.931371062534055</v>
      </c>
      <c r="C20" s="44">
        <f>(ABS((SQRT(2-1/((1+(Data!$D23/Data!$D$8))/2))-1)+ABS(SQRT(2/(Data!$D23/Data!$D$8)-1/((1+(Data!$D23/Data!$D$8))/2))-SQRT(1/(Data!$D23/Data!$D$8)))))*Data!$G$8</f>
        <v>8.80791672125654</v>
      </c>
      <c r="D20" s="44">
        <f>(ABS((SQRT(2-1/((1+(Data!$D23/Data!$D$9))/2))-1)+ABS(SQRT(2/(Data!$D23/Data!$D$9)-1/((1+(Data!$D23/Data!$D$9))/2))-SQRT(1/(Data!$D23/Data!$D$9)))))*Data!$G$9</f>
        <v>8.758513032736467</v>
      </c>
      <c r="E20" s="44">
        <f>(ABS((SQRT(2-1/((1+(Data!$D23/Data!$D$10))/2))-1)+ABS(SQRT(2/(Data!$D23/Data!$D$10)-1/((1+(Data!$D23/Data!$D$10))/2))-SQRT(1/(Data!$D23/Data!$D$10)))))*Data!$G$10</f>
        <v>8.690949483326612</v>
      </c>
      <c r="F20" s="44">
        <f>(ABS((SQRT(2-1/((1+(Data!$D23/Data!$D$11))/2))-1)+ABS(SQRT(2/(Data!$D23/Data!$D$11)-1/((1+(Data!$D23/Data!$D$11))/2))-SQRT(1/(Data!$D23/Data!$D$11)))))*Data!$G$11</f>
        <v>8.426370004260882</v>
      </c>
      <c r="G20" s="44">
        <f>(ABS((SQRT(2-1/((1+(Data!$D23/Data!$D$12))/2))-1)+ABS(SQRT(2/(Data!$D23/Data!$D$12)-1/((1+(Data!$D23/Data!$D$12))/2))-SQRT(1/(Data!$D23/Data!$D$12)))))*Data!$G$12</f>
        <v>8.425068795595328</v>
      </c>
      <c r="H20" s="44">
        <f>(ABS((SQRT(2-1/((1+(Data!$D23/Data!$D$13))/2))-1)+ABS(SQRT(2/(Data!$D23/Data!$D$13)-1/((1+(Data!$D23/Data!$D$13))/2))-SQRT(1/(Data!$D23/Data!$D$13)))))*Data!$G$13</f>
        <v>7.652605742743146</v>
      </c>
      <c r="I20" s="44">
        <f>(ABS((SQRT(2-1/((1+(Data!$D23/Data!$D$14))/2))-1)+ABS(SQRT(2/(Data!$D23/Data!$D$14)-1/((1+(Data!$D23/Data!$D$14))/2))-SQRT(1/(Data!$D23/Data!$D$14)))))*Data!$G$14</f>
        <v>6.769254492881211</v>
      </c>
      <c r="J20" s="44">
        <f>(ABS((SQRT(2-1/((1+(Data!$D23/Data!$D$15))/2))-1)+ABS(SQRT(2/(Data!$D23/Data!$D$15)-1/((1+(Data!$D23/Data!$D$15))/2))-SQRT(1/(Data!$D23/Data!$D$15)))))*Data!$G$15</f>
        <v>6.06224577004163</v>
      </c>
      <c r="K20" s="44">
        <f>(ABS((SQRT(2-1/((1+(Data!$D23/Data!$D$16))/2))-1)+ABS(SQRT(2/(Data!$D23/Data!$D$16)-1/((1+(Data!$D23/Data!$D$16))/2))-SQRT(1/(Data!$D23/Data!$D$16)))))*Data!$G$16</f>
        <v>6.06224577004163</v>
      </c>
      <c r="L20" s="44">
        <f>(ABS((SQRT(2-1/((1+(Data!$D23/Data!$D$17))/2))-1)+ABS(SQRT(2/(Data!$D23/Data!$D$17)-1/((1+(Data!$D23/Data!$D$17))/2))-SQRT(1/(Data!$D23/Data!$D$17)))))*Data!$G$17</f>
        <v>6.06224577004163</v>
      </c>
      <c r="M20" s="44">
        <f>(ABS((SQRT(2-1/((1+(Data!$D23/Data!$D$18))/2))-1)+ABS(SQRT(2/(Data!$D23/Data!$D$18)-1/((1+(Data!$D23/Data!$D$18))/2))-SQRT(1/(Data!$D23/Data!$D$18)))))*Data!$G$18</f>
        <v>5.291313299845349</v>
      </c>
      <c r="N20" s="44">
        <f>(ABS((SQRT(2-1/((1+(Data!$D23/Data!$D$19))/2))-1)+ABS(SQRT(2/(Data!$D23/Data!$D$19)-1/((1+(Data!$D23/Data!$D$19))/2))-SQRT(1/(Data!$D23/Data!$D$19)))))*Data!$G$19</f>
        <v>5.291313299845349</v>
      </c>
      <c r="O20" s="44">
        <f>(ABS((SQRT(2-1/((1+(Data!$D23/Data!$D$20))/2))-1)+ABS(SQRT(2/(Data!$D23/Data!$D$20)-1/((1+(Data!$D23/Data!$D$20))/2))-SQRT(1/(Data!$D23/Data!$D$20)))))*Data!$G$20</f>
        <v>4.32057001373758</v>
      </c>
      <c r="P20" s="44">
        <f>(ABS((SQRT(2-1/((1+(Data!$D23/Data!$D$21))/2))-1)+ABS(SQRT(2/(Data!$D23/Data!$D$21)-1/((1+(Data!$D23/Data!$D$21))/2))-SQRT(1/(Data!$D23/Data!$D$21)))))*Data!$G$21</f>
        <v>2.1583484885963267</v>
      </c>
      <c r="Q20" s="44">
        <f>(ABS((SQRT(2-1/((1+(Data!$D23/Data!$D$22))/2))-1)+ABS(SQRT(2/(Data!$D23/Data!$D$22)-1/((1+(Data!$D23/Data!$D$22))/2))-SQRT(1/(Data!$D23/Data!$D$22)))))*Data!$G$22</f>
        <v>1.7161819231458646</v>
      </c>
      <c r="R20" s="40">
        <f>(SQRT(G*Data!$B23/Data!$C23))/1000</f>
        <v>0.3844119699932544</v>
      </c>
      <c r="S20" s="41">
        <f>R21+orbit17+orbit18</f>
        <v>1.7171069140250053</v>
      </c>
      <c r="T20" s="41">
        <f>R22+orbit17+orbit19</f>
        <v>1.7201982823867357</v>
      </c>
      <c r="U20" s="41" t="e">
        <f>R23+orbit17+orbit20</f>
        <v>#NUM!</v>
      </c>
      <c r="V20" s="41">
        <f>R24+orbit17+orbit21</f>
        <v>1.8868445646943086</v>
      </c>
      <c r="W20" s="41" t="e">
        <f>R25+orbit17+orbit22</f>
        <v>#NUM!</v>
      </c>
      <c r="X20" s="41">
        <f>R26+orbit17+orbit23</f>
        <v>1.923314606662567</v>
      </c>
      <c r="Y20" s="41">
        <f>R27+orbit17+orbit24</f>
        <v>1.9487146562843833</v>
      </c>
      <c r="Z20" s="41">
        <f>R28+orbit17+orbit25</f>
        <v>1.9670982009303326</v>
      </c>
      <c r="AA20" s="41">
        <f>R29+orbit17+orbit26</f>
        <v>1.964018659008914</v>
      </c>
      <c r="AB20" s="41" t="e">
        <f>R30+orbit17+orbit27</f>
        <v>#NUM!</v>
      </c>
      <c r="AC20" s="41" t="e">
        <f>R31+orbit17+orbit28</f>
        <v>#NUM!</v>
      </c>
      <c r="AD20" s="41" t="e">
        <f>R32+orbit17+orbit29</f>
        <v>#NUM!</v>
      </c>
      <c r="AE20" s="41" t="e">
        <f>R33+orbit17+orbit30</f>
        <v>#NUM!</v>
      </c>
      <c r="AF20" s="19" t="str">
        <f>Data!A23</f>
        <v>Iapetus (SVIII)</v>
      </c>
    </row>
    <row r="21" spans="1:32" ht="12.75">
      <c r="A21" s="3" t="str">
        <f>Data!A24</f>
        <v>S/2000 S 5</v>
      </c>
      <c r="B21" s="42">
        <f>(ABS((SQRT(2-1/((1+(Data!$D24/Data!$D$7))/2))-1)+ABS(SQRT(2/(Data!$D24/Data!$D$7)-1/((1+(Data!$D24/Data!$D$7))/2))-SQRT(1/(Data!$D24/Data!$D$7)))))*Data!$G$7</f>
        <v>8.389474736587898</v>
      </c>
      <c r="C21" s="42">
        <f>(ABS((SQRT(2-1/((1+(Data!$D24/Data!$D$8))/2))-1)+ABS(SQRT(2/(Data!$D24/Data!$D$8)-1/((1+(Data!$D24/Data!$D$8))/2))-SQRT(1/(Data!$D24/Data!$D$8)))))*Data!$G$8</f>
        <v>8.278840565383552</v>
      </c>
      <c r="D21" s="42">
        <f>(ABS((SQRT(2-1/((1+(Data!$D24/Data!$D$9))/2))-1)+ABS(SQRT(2/(Data!$D24/Data!$D$9)-1/((1+(Data!$D24/Data!$D$9))/2))-SQRT(1/(Data!$D24/Data!$D$9)))))*Data!$G$9</f>
        <v>8.234651197179764</v>
      </c>
      <c r="E21" s="42">
        <f>(ABS((SQRT(2-1/((1+(Data!$D24/Data!$D$10))/2))-1)+ABS(SQRT(2/(Data!$D24/Data!$D$10)-1/((1+(Data!$D24/Data!$D$10))/2))-SQRT(1/(Data!$D24/Data!$D$10)))))*Data!$G$10</f>
        <v>8.174297703296414</v>
      </c>
      <c r="F21" s="42">
        <f>(ABS((SQRT(2-1/((1+(Data!$D24/Data!$D$11))/2))-1)+ABS(SQRT(2/(Data!$D24/Data!$D$11)-1/((1+(Data!$D24/Data!$D$11))/2))-SQRT(1/(Data!$D24/Data!$D$11)))))*Data!$G$11</f>
        <v>7.938856027131178</v>
      </c>
      <c r="G21" s="42">
        <f>(ABS((SQRT(2-1/((1+(Data!$D24/Data!$D$12))/2))-1)+ABS(SQRT(2/(Data!$D24/Data!$D$12)-1/((1+(Data!$D24/Data!$D$12))/2))-SQRT(1/(Data!$D24/Data!$D$12)))))*Data!$G$12</f>
        <v>7.937701758692369</v>
      </c>
      <c r="H21" s="42">
        <f>(ABS((SQRT(2-1/((1+(Data!$D24/Data!$D$13))/2))-1)+ABS(SQRT(2/(Data!$D24/Data!$D$13)-1/((1+(Data!$D24/Data!$D$13))/2))-SQRT(1/(Data!$D24/Data!$D$13)))))*Data!$G$13</f>
        <v>7.259225963299004</v>
      </c>
      <c r="I21" s="42">
        <f>(ABS((SQRT(2-1/((1+(Data!$D24/Data!$D$14))/2))-1)+ABS(SQRT(2/(Data!$D24/Data!$D$14)-1/((1+(Data!$D24/Data!$D$14))/2))-SQRT(1/(Data!$D24/Data!$D$14)))))*Data!$G$14</f>
        <v>6.501781053739281</v>
      </c>
      <c r="J21" s="42">
        <f>(ABS((SQRT(2-1/((1+(Data!$D24/Data!$D$15))/2))-1)+ABS(SQRT(2/(Data!$D24/Data!$D$15)-1/((1+(Data!$D24/Data!$D$15))/2))-SQRT(1/(Data!$D24/Data!$D$15)))))*Data!$G$15</f>
        <v>5.911771681663256</v>
      </c>
      <c r="K21" s="42">
        <f>(ABS((SQRT(2-1/((1+(Data!$D24/Data!$D$16))/2))-1)+ABS(SQRT(2/(Data!$D24/Data!$D$16)-1/((1+(Data!$D24/Data!$D$16))/2))-SQRT(1/(Data!$D24/Data!$D$16)))))*Data!$G$16</f>
        <v>5.911771681663256</v>
      </c>
      <c r="L21" s="42">
        <f>(ABS((SQRT(2-1/((1+(Data!$D24/Data!$D$17))/2))-1)+ABS(SQRT(2/(Data!$D24/Data!$D$17)-1/((1+(Data!$D24/Data!$D$17))/2))-SQRT(1/(Data!$D24/Data!$D$17)))))*Data!$G$17</f>
        <v>5.911771681663256</v>
      </c>
      <c r="M21" s="42">
        <f>(ABS((SQRT(2-1/((1+(Data!$D24/Data!$D$18))/2))-1)+ABS(SQRT(2/(Data!$D24/Data!$D$18)-1/((1+(Data!$D24/Data!$D$18))/2))-SQRT(1/(Data!$D24/Data!$D$18)))))*Data!$G$18</f>
        <v>5.286675206272712</v>
      </c>
      <c r="N21" s="42">
        <f>(ABS((SQRT(2-1/((1+(Data!$D24/Data!$D$19))/2))-1)+ABS(SQRT(2/(Data!$D24/Data!$D$19)-1/((1+(Data!$D24/Data!$D$19))/2))-SQRT(1/(Data!$D24/Data!$D$19)))))*Data!$G$19</f>
        <v>5.286675206272712</v>
      </c>
      <c r="O21" s="42">
        <f>(ABS((SQRT(2-1/((1+(Data!$D24/Data!$D$20))/2))-1)+ABS(SQRT(2/(Data!$D24/Data!$D$20)-1/((1+(Data!$D24/Data!$D$20))/2))-SQRT(1/(Data!$D24/Data!$D$20)))))*Data!$G$20</f>
        <v>4.528187209704055</v>
      </c>
      <c r="P21" s="42">
        <f>(ABS((SQRT(2-1/((1+(Data!$D24/Data!$D$21))/2))-1)+ABS(SQRT(2/(Data!$D24/Data!$D$21)-1/((1+(Data!$D24/Data!$D$21))/2))-SQRT(1/(Data!$D24/Data!$D$21)))))*Data!$G$21</f>
        <v>2.937801996349711</v>
      </c>
      <c r="Q21" s="42">
        <f>(ABS((SQRT(2-1/((1+(Data!$D24/Data!$D$22))/2))-1)+ABS(SQRT(2/(Data!$D24/Data!$D$22)-1/((1+(Data!$D24/Data!$D$22))/2))-SQRT(1/(Data!$D24/Data!$D$22)))))*Data!$G$22</f>
        <v>2.620808781709893</v>
      </c>
      <c r="R21" s="42">
        <f>(ABS((SQRT(2-1/((1+(Data!$D24/Data!$D$23))/2))-1)+ABS(SQRT(2/(Data!$D24/Data!$D$23)-1/((1+(Data!$D24/Data!$D$23))/2))-SQRT(1/(Data!$D24/Data!$D$23)))))*Data!$G$23</f>
        <v>1.3289940818959904</v>
      </c>
      <c r="S21" s="40">
        <f>(SQRT(G*Data!$B24/Data!$C24))/1000</f>
        <v>0.0037008621357603145</v>
      </c>
      <c r="T21" s="43">
        <f>S22+orbit18+orbit19</f>
        <v>0.011941101244602282</v>
      </c>
      <c r="U21" s="43" t="e">
        <f>S23+orbit18+orbit20</f>
        <v>#NUM!</v>
      </c>
      <c r="V21" s="43">
        <f>S24+orbit18+orbit21</f>
        <v>0.25449070158149234</v>
      </c>
      <c r="W21" s="43" t="e">
        <f>S25+orbit18+orbit22</f>
        <v>#NUM!</v>
      </c>
      <c r="X21" s="43">
        <f>S26+orbit18+orbit23</f>
        <v>0.3132756120588786</v>
      </c>
      <c r="Y21" s="43">
        <f>S27+orbit18+orbit24</f>
        <v>0.36046075446092135</v>
      </c>
      <c r="Z21" s="43">
        <f>S28+orbit18+orbit25</f>
        <v>0.38829755750743655</v>
      </c>
      <c r="AA21" s="43">
        <f>S29+orbit18+orbit26</f>
        <v>0.38657402811810676</v>
      </c>
      <c r="AB21" s="43" t="e">
        <f>S30+orbit18+orbit27</f>
        <v>#NUM!</v>
      </c>
      <c r="AC21" s="43" t="e">
        <f>S31+orbit18+orbit28</f>
        <v>#NUM!</v>
      </c>
      <c r="AD21" s="43" t="e">
        <f>S32+orbit18+orbit29</f>
        <v>#NUM!</v>
      </c>
      <c r="AE21" s="43" t="e">
        <f>S33+orbit18+orbit30</f>
        <v>#NUM!</v>
      </c>
      <c r="AF21" s="19" t="str">
        <f>Data!A24</f>
        <v>S/2000 S 5</v>
      </c>
    </row>
    <row r="22" spans="1:32" ht="12.75">
      <c r="A22" s="3" t="str">
        <f>Data!A25</f>
        <v>S/2000 S 6</v>
      </c>
      <c r="B22" s="44">
        <f>(ABS((SQRT(2-1/((1+(Data!$D25/Data!$D$7))/2))-1)+ABS(SQRT(2/(Data!$D25/Data!$D$7)-1/((1+(Data!$D25/Data!$D$7))/2))-SQRT(1/(Data!$D25/Data!$D$7)))))*Data!$G$7</f>
        <v>8.386413146391583</v>
      </c>
      <c r="C22" s="44">
        <f>(ABS((SQRT(2-1/((1+(Data!$D25/Data!$D$8))/2))-1)+ABS(SQRT(2/(Data!$D25/Data!$D$8)-1/((1+(Data!$D25/Data!$D$8))/2))-SQRT(1/(Data!$D25/Data!$D$8)))))*Data!$G$8</f>
        <v>8.275816404581814</v>
      </c>
      <c r="D22" s="44">
        <f>(ABS((SQRT(2-1/((1+(Data!$D25/Data!$D$9))/2))-1)+ABS(SQRT(2/(Data!$D25/Data!$D$9)-1/((1+(Data!$D25/Data!$D$9))/2))-SQRT(1/(Data!$D25/Data!$D$9)))))*Data!$G$9</f>
        <v>8.231642274384097</v>
      </c>
      <c r="E22" s="44">
        <f>(ABS((SQRT(2-1/((1+(Data!$D25/Data!$D$10))/2))-1)+ABS(SQRT(2/(Data!$D25/Data!$D$10)-1/((1+(Data!$D25/Data!$D$10))/2))-SQRT(1/(Data!$D25/Data!$D$10)))))*Data!$G$10</f>
        <v>8.171309864627542</v>
      </c>
      <c r="F22" s="44">
        <f>(ABS((SQRT(2-1/((1+(Data!$D25/Data!$D$11))/2))-1)+ABS(SQRT(2/(Data!$D25/Data!$D$11)-1/((1+(Data!$D25/Data!$D$11))/2))-SQRT(1/(Data!$D25/Data!$D$11)))))*Data!$G$11</f>
        <v>7.935953562822798</v>
      </c>
      <c r="G22" s="44">
        <f>(ABS((SQRT(2-1/((1+(Data!$D25/Data!$D$12))/2))-1)+ABS(SQRT(2/(Data!$D25/Data!$D$12)-1/((1+(Data!$D25/Data!$D$12))/2))-SQRT(1/(Data!$D25/Data!$D$12)))))*Data!$G$12</f>
        <v>7.934799725614592</v>
      </c>
      <c r="H22" s="44">
        <f>(ABS((SQRT(2-1/((1+(Data!$D25/Data!$D$13))/2))-1)+ABS(SQRT(2/(Data!$D25/Data!$D$13)-1/((1+(Data!$D25/Data!$D$13))/2))-SQRT(1/(Data!$D25/Data!$D$13)))))*Data!$G$13</f>
        <v>7.256601264917923</v>
      </c>
      <c r="I22" s="44">
        <f>(ABS((SQRT(2-1/((1+(Data!$D25/Data!$D$14))/2))-1)+ABS(SQRT(2/(Data!$D25/Data!$D$14)-1/((1+(Data!$D25/Data!$D$14))/2))-SQRT(1/(Data!$D25/Data!$D$14)))))*Data!$G$14</f>
        <v>6.499533081846167</v>
      </c>
      <c r="J22" s="44">
        <f>(ABS((SQRT(2-1/((1+(Data!$D25/Data!$D$15))/2))-1)+ABS(SQRT(2/(Data!$D25/Data!$D$15)-1/((1+(Data!$D25/Data!$D$15))/2))-SQRT(1/(Data!$D25/Data!$D$15)))))*Data!$G$15</f>
        <v>5.909879968841117</v>
      </c>
      <c r="K22" s="44">
        <f>(ABS((SQRT(2-1/((1+(Data!$D25/Data!$D$16))/2))-1)+ABS(SQRT(2/(Data!$D25/Data!$D$16)-1/((1+(Data!$D25/Data!$D$16))/2))-SQRT(1/(Data!$D25/Data!$D$16)))))*Data!$G$16</f>
        <v>5.909879968841117</v>
      </c>
      <c r="L22" s="44">
        <f>(ABS((SQRT(2-1/((1+(Data!$D25/Data!$D$17))/2))-1)+ABS(SQRT(2/(Data!$D25/Data!$D$17)-1/((1+(Data!$D25/Data!$D$17))/2))-SQRT(1/(Data!$D25/Data!$D$17)))))*Data!$G$17</f>
        <v>5.909879968841117</v>
      </c>
      <c r="M22" s="44">
        <f>(ABS((SQRT(2-1/((1+(Data!$D25/Data!$D$18))/2))-1)+ABS(SQRT(2/(Data!$D25/Data!$D$18)-1/((1+(Data!$D25/Data!$D$18))/2))-SQRT(1/(Data!$D25/Data!$D$18)))))*Data!$G$18</f>
        <v>5.285237394798635</v>
      </c>
      <c r="N22" s="44">
        <f>(ABS((SQRT(2-1/((1+(Data!$D25/Data!$D$19))/2))-1)+ABS(SQRT(2/(Data!$D25/Data!$D$19)-1/((1+(Data!$D25/Data!$D$19))/2))-SQRT(1/(Data!$D25/Data!$D$19)))))*Data!$G$19</f>
        <v>5.285237394798635</v>
      </c>
      <c r="O22" s="44">
        <f>(ABS((SQRT(2-1/((1+(Data!$D25/Data!$D$20))/2))-1)+ABS(SQRT(2/(Data!$D25/Data!$D$20)-1/((1+(Data!$D25/Data!$D$20))/2))-SQRT(1/(Data!$D25/Data!$D$20)))))*Data!$G$20</f>
        <v>4.527433933272578</v>
      </c>
      <c r="P22" s="44">
        <f>(ABS((SQRT(2-1/((1+(Data!$D25/Data!$D$21))/2))-1)+ABS(SQRT(2/(Data!$D25/Data!$D$21)-1/((1+(Data!$D25/Data!$D$21))/2))-SQRT(1/(Data!$D25/Data!$D$21)))))*Data!$G$21</f>
        <v>2.9391151373031565</v>
      </c>
      <c r="Q22" s="44">
        <f>(ABS((SQRT(2-1/((1+(Data!$D25/Data!$D$22))/2))-1)+ABS(SQRT(2/(Data!$D25/Data!$D$22)-1/((1+(Data!$D25/Data!$D$22))/2))-SQRT(1/(Data!$D25/Data!$D$22)))))*Data!$G$22</f>
        <v>2.6226453581417455</v>
      </c>
      <c r="R22" s="44">
        <f>(ABS((SQRT(2-1/((1+(Data!$D25/Data!$D$23))/2))-1)+ABS(SQRT(2/(Data!$D25/Data!$D$23)-1/((1+(Data!$D25/Data!$D$23))/2))-SQRT(1/(Data!$D25/Data!$D$23)))))*Data!$G$23</f>
        <v>1.3331428394393667</v>
      </c>
      <c r="S22" s="44">
        <f>(ABS((SQRT(2-1/((1+(Data!$D25/Data!$D$24))/2))-1)+ABS(SQRT(2/(Data!$D25/Data!$D$24)-1/((1+(Data!$D25/Data!$D$24))/2))-SQRT(1/(Data!$D25/Data!$D$24)))))*Data!$G$24</f>
        <v>0.005596766154727457</v>
      </c>
      <c r="T22" s="40">
        <f>(SQRT(G*Data!$B25/Data!$C25))/1000</f>
        <v>0.00264347295411451</v>
      </c>
      <c r="U22" s="41" t="e">
        <f>T23+orbit19+orbit20</f>
        <v>#NUM!</v>
      </c>
      <c r="V22" s="41">
        <f>T24+orbit19+orbit21</f>
        <v>0.24791818359478612</v>
      </c>
      <c r="W22" s="41" t="e">
        <f>T25+orbit19+orbit22</f>
        <v>#NUM!</v>
      </c>
      <c r="X22" s="41">
        <f>T26+orbit19+orbit23</f>
        <v>0.3067491259555638</v>
      </c>
      <c r="Y22" s="41">
        <f>T27+orbit19+orbit24</f>
        <v>0.3539863232504063</v>
      </c>
      <c r="Z22" s="41">
        <f>T28+orbit19+orbit25</f>
        <v>0.38184769831922605</v>
      </c>
      <c r="AA22" s="41">
        <f>T29+orbit19+orbit26</f>
        <v>0.38012778695692157</v>
      </c>
      <c r="AB22" s="41" t="e">
        <f>Y30+orbit19+orbit27</f>
        <v>#NUM!</v>
      </c>
      <c r="AC22" s="41" t="e">
        <f>T31+orbit19+orbit28</f>
        <v>#NUM!</v>
      </c>
      <c r="AD22" s="41" t="e">
        <f>T32+orbit19+orbit29</f>
        <v>#NUM!</v>
      </c>
      <c r="AE22" s="41" t="e">
        <f>T33+orbit19+orbit30</f>
        <v>#NUM!</v>
      </c>
      <c r="AF22" s="19" t="str">
        <f>Data!A25</f>
        <v>S/2000 S 6</v>
      </c>
    </row>
    <row r="23" spans="1:32" ht="12.75">
      <c r="A23" s="3" t="str">
        <f>Data!A26</f>
        <v>Phoebe (S IX)</v>
      </c>
      <c r="B23" s="42" t="e">
        <f>(ABS((SQRT(2-1/((1+(Data!$D26/Data!$D$7))/2))-1)+ABS(SQRT(2/(Data!$D26/Data!$D$7)-1/((1+(Data!$D26/Data!$D$7))/2))-SQRT(1/(Data!$D26/Data!$D$7)))))*Data!$G$7</f>
        <v>#NUM!</v>
      </c>
      <c r="C23" s="42" t="e">
        <f>(ABS((SQRT(2-1/((1+(Data!$D26/Data!$D$8))/2))-1)+ABS(SQRT(2/(Data!$D26/Data!$D$8)-1/((1+(Data!$D26/Data!$D$8))/2))-SQRT(1/(Data!$D26/Data!$D$8)))))*Data!$G$8</f>
        <v>#NUM!</v>
      </c>
      <c r="D23" s="42" t="e">
        <f>(ABS((SQRT(2-1/((1+(Data!$D26/Data!$D$9))/2))-1)+ABS(SQRT(2/(Data!$D26/Data!$D$9)-1/((1+(Data!$D26/Data!$D$9))/2))-SQRT(1/(Data!$D26/Data!$D$9)))))*Data!$G$9</f>
        <v>#NUM!</v>
      </c>
      <c r="E23" s="42" t="e">
        <f>(ABS((SQRT(2-1/((1+(Data!$D26/Data!$D$10))/2))-1)+ABS(SQRT(2/(Data!$D26/Data!$D$10)-1/((1+(Data!$D26/Data!$D$10))/2))-SQRT(1/(Data!$D26/Data!$D$10)))))*Data!$G$10</f>
        <v>#NUM!</v>
      </c>
      <c r="F23" s="42" t="e">
        <f>(ABS((SQRT(2-1/((1+(Data!$D26/Data!$D$11))/2))-1)+ABS(SQRT(2/(Data!$D26/Data!$D$11)-1/((1+(Data!$D26/Data!$D$11))/2))-SQRT(1/(Data!$D26/Data!$D$11)))))*Data!$G$11</f>
        <v>#NUM!</v>
      </c>
      <c r="G23" s="42" t="e">
        <f>(ABS((SQRT(2-1/((1+(Data!$D26/Data!$D$12))/2))-1)+ABS(SQRT(2/(Data!$D26/Data!$D$12)-1/((1+(Data!$D26/Data!$D$12))/2))-SQRT(1/(Data!$D26/Data!$D$12)))))*Data!$G$12</f>
        <v>#NUM!</v>
      </c>
      <c r="H23" s="42" t="e">
        <f>(ABS((SQRT(2-1/((1+(Data!$D26/Data!$D$13))/2))-1)+ABS(SQRT(2/(Data!$D26/Data!$D$13)-1/((1+(Data!$D26/Data!$D$13))/2))-SQRT(1/(Data!$D26/Data!$D$13)))))*Data!$G$13</f>
        <v>#NUM!</v>
      </c>
      <c r="I23" s="42" t="e">
        <f>(ABS((SQRT(2-1/((1+(Data!$D26/Data!$D$14))/2))-1)+ABS(SQRT(2/(Data!$D26/Data!$D$14)-1/((1+(Data!$D26/Data!$D$14))/2))-SQRT(1/(Data!$D26/Data!$D$14)))))*Data!$G$14</f>
        <v>#NUM!</v>
      </c>
      <c r="J23" s="42" t="e">
        <f>(ABS((SQRT(2-1/((1+(Data!$D26/Data!$D$15))/2))-1)+ABS(SQRT(2/(Data!$D26/Data!$D$15)-1/((1+(Data!$D26/Data!$D$15))/2))-SQRT(1/(Data!$D26/Data!$D$15)))))*Data!$G$15</f>
        <v>#NUM!</v>
      </c>
      <c r="K23" s="42" t="e">
        <f>(ABS((SQRT(2-1/((1+(Data!$D26/Data!$D$16))/2))-1)+ABS(SQRT(2/(Data!$D26/Data!$D$16)-1/((1+(Data!$D26/Data!$D$16))/2))-SQRT(1/(Data!$D26/Data!$D$16)))))*Data!$G$16</f>
        <v>#NUM!</v>
      </c>
      <c r="L23" s="42" t="e">
        <f>(ABS((SQRT(2-1/((1+(Data!$D26/Data!$D$17))/2))-1)+ABS(SQRT(2/(Data!$D26/Data!$D$17)-1/((1+(Data!$D26/Data!$D$17))/2))-SQRT(1/(Data!$D26/Data!$D$17)))))*Data!$G$17</f>
        <v>#NUM!</v>
      </c>
      <c r="M23" s="42" t="e">
        <f>(ABS((SQRT(2-1/((1+(Data!$D26/Data!$D$18))/2))-1)+ABS(SQRT(2/(Data!$D26/Data!$D$18)-1/((1+(Data!$D26/Data!$D$18))/2))-SQRT(1/(Data!$D26/Data!$D$18)))))*Data!$G$18</f>
        <v>#NUM!</v>
      </c>
      <c r="N23" s="42" t="e">
        <f>(ABS((SQRT(2-1/((1+(Data!$D26/Data!$D$19))/2))-1)+ABS(SQRT(2/(Data!$D26/Data!$D$19)-1/((1+(Data!$D26/Data!$D$19))/2))-SQRT(1/(Data!$D26/Data!$D$19)))))*Data!$G$19</f>
        <v>#NUM!</v>
      </c>
      <c r="O23" s="42" t="e">
        <f>(ABS((SQRT(2-1/((1+(Data!$D26/Data!$D$20))/2))-1)+ABS(SQRT(2/(Data!$D26/Data!$D$20)-1/((1+(Data!$D26/Data!$D$20))/2))-SQRT(1/(Data!$D26/Data!$D$20)))))*Data!$G$20</f>
        <v>#NUM!</v>
      </c>
      <c r="P23" s="42" t="e">
        <f>(ABS((SQRT(2-1/((1+(Data!$D26/Data!$D$21))/2))-1)+ABS(SQRT(2/(Data!$D26/Data!$D$21)-1/((1+(Data!$D26/Data!$D$21))/2))-SQRT(1/(Data!$D26/Data!$D$21)))))*Data!$G$21</f>
        <v>#NUM!</v>
      </c>
      <c r="Q23" s="42" t="e">
        <f>(ABS((SQRT(2-1/((1+(Data!$D26/Data!$D$22))/2))-1)+ABS(SQRT(2/(Data!$D26/Data!$D$22)-1/((1+(Data!$D26/Data!$D$22))/2))-SQRT(1/(Data!$D26/Data!$D$22)))))*Data!$G$22</f>
        <v>#NUM!</v>
      </c>
      <c r="R23" s="42" t="e">
        <f>(ABS((SQRT(2-1/((1+(Data!$D26/Data!$D$23))/2))-1)+ABS(SQRT(2/(Data!$D26/Data!$D$23)-1/((1+(Data!$D26/Data!$D$23))/2))-SQRT(1/(Data!$D26/Data!$D$23)))))*Data!$G$23</f>
        <v>#NUM!</v>
      </c>
      <c r="S23" s="42" t="e">
        <f>(ABS((SQRT(2-1/((1+(Data!$D26/Data!$D$24))/2))-1)+ABS(SQRT(2/(Data!$D26/Data!$D$24)-1/((1+(Data!$D26/Data!$D$24))/2))-SQRT(1/(Data!$D26/Data!$D$24)))))*Data!$G$24</f>
        <v>#NUM!</v>
      </c>
      <c r="T23" s="42" t="e">
        <f>(ABS((SQRT(2-1/((1+(Data!$D26/Data!$D$25))/2))-1)+ABS(SQRT(2/(Data!$D26/Data!$D$25)-1/((1+(Data!$D26/Data!$D$25))/2))-SQRT(1/(Data!$D26/Data!$D$25)))))*Data!$G$25</f>
        <v>#NUM!</v>
      </c>
      <c r="U23" s="40">
        <f>(SQRT(G*Data!$B26/Data!$C26))/1000</f>
        <v>2.089923878561566</v>
      </c>
      <c r="V23" s="43" t="e">
        <f>U24+orbit20+orbit21</f>
        <v>#NUM!</v>
      </c>
      <c r="W23" s="43" t="e">
        <f>U25+orbit20+orbit22</f>
        <v>#NUM!</v>
      </c>
      <c r="X23" s="43" t="e">
        <f>U26+orbit20+orbit23</f>
        <v>#NUM!</v>
      </c>
      <c r="Y23" s="43" t="e">
        <f>U27+orbit20+orbit24</f>
        <v>#NUM!</v>
      </c>
      <c r="Z23" s="43" t="e">
        <f>U28+orbit20+orbit25</f>
        <v>#NUM!</v>
      </c>
      <c r="AA23" s="43" t="e">
        <f>U29+orbit20+orbit26</f>
        <v>#NUM!</v>
      </c>
      <c r="AB23" s="43" t="e">
        <f>U30+orbit20+orbit27</f>
        <v>#NUM!</v>
      </c>
      <c r="AC23" s="43" t="e">
        <f>U31+orbit20+orbit28</f>
        <v>#NUM!</v>
      </c>
      <c r="AD23" s="43" t="e">
        <f>U32+orbit20+orbit29</f>
        <v>#NUM!</v>
      </c>
      <c r="AE23" s="43" t="e">
        <f>U33+orbit20+orbit30</f>
        <v>#NUM!</v>
      </c>
      <c r="AF23" s="19" t="str">
        <f>Data!A26</f>
        <v>Phoebe (S IX)</v>
      </c>
    </row>
    <row r="24" spans="1:32" ht="12.75">
      <c r="A24" s="3" t="str">
        <f>Data!A27</f>
        <v>S/2000 S 2</v>
      </c>
      <c r="B24" s="44">
        <f>(ABS((SQRT(2-1/((1+(Data!$D27/Data!$D$7))/2))-1)+ABS(SQRT(2/(Data!$D27/Data!$D$7)-1/((1+(Data!$D27/Data!$D$7))/2))-SQRT(1/(Data!$D27/Data!$D$7)))))*Data!$G$7</f>
        <v>8.247253630844362</v>
      </c>
      <c r="C24" s="44">
        <f>(ABS((SQRT(2-1/((1+(Data!$D27/Data!$D$8))/2))-1)+ABS(SQRT(2/(Data!$D27/Data!$D$8)-1/((1+(Data!$D27/Data!$D$8))/2))-SQRT(1/(Data!$D27/Data!$D$8)))))*Data!$G$8</f>
        <v>8.13816869210308</v>
      </c>
      <c r="D24" s="44">
        <f>(ABS((SQRT(2-1/((1+(Data!$D27/Data!$D$9))/2))-1)+ABS(SQRT(2/(Data!$D27/Data!$D$9)-1/((1+(Data!$D27/Data!$D$9))/2))-SQRT(1/(Data!$D27/Data!$D$9)))))*Data!$G$9</f>
        <v>8.094610105578068</v>
      </c>
      <c r="E24" s="44">
        <f>(ABS((SQRT(2-1/((1+(Data!$D27/Data!$D$10))/2))-1)+ABS(SQRT(2/(Data!$D27/Data!$D$10)-1/((1+(Data!$D27/Data!$D$10))/2))-SQRT(1/(Data!$D27/Data!$D$10)))))*Data!$G$10</f>
        <v>8.03512946126506</v>
      </c>
      <c r="F24" s="44">
        <f>(ABS((SQRT(2-1/((1+(Data!$D27/Data!$D$11))/2))-1)+ABS(SQRT(2/(Data!$D27/Data!$D$11)-1/((1+(Data!$D27/Data!$D$11))/2))-SQRT(1/(Data!$D27/Data!$D$11)))))*Data!$G$11</f>
        <v>7.803222946221414</v>
      </c>
      <c r="G24" s="44">
        <f>(ABS((SQRT(2-1/((1+(Data!$D27/Data!$D$12))/2))-1)+ABS(SQRT(2/(Data!$D27/Data!$D$12)-1/((1+(Data!$D27/Data!$D$12))/2))-SQRT(1/(Data!$D27/Data!$D$12)))))*Data!$G$12</f>
        <v>7.802086537371827</v>
      </c>
      <c r="H24" s="44">
        <f>(ABS((SQRT(2-1/((1+(Data!$D27/Data!$D$13))/2))-1)+ABS(SQRT(2/(Data!$D27/Data!$D$13)-1/((1+(Data!$D27/Data!$D$13))/2))-SQRT(1/(Data!$D27/Data!$D$13)))))*Data!$G$13</f>
        <v>7.135103883152431</v>
      </c>
      <c r="I24" s="44">
        <f>(ABS((SQRT(2-1/((1+(Data!$D27/Data!$D$14))/2))-1)+ABS(SQRT(2/(Data!$D27/Data!$D$14)-1/((1+(Data!$D27/Data!$D$14))/2))-SQRT(1/(Data!$D27/Data!$D$14)))))*Data!$G$14</f>
        <v>6.393296208381857</v>
      </c>
      <c r="J24" s="44">
        <f>(ABS((SQRT(2-1/((1+(Data!$D27/Data!$D$15))/2))-1)+ABS(SQRT(2/(Data!$D27/Data!$D$15)-1/((1+(Data!$D27/Data!$D$15))/2))-SQRT(1/(Data!$D27/Data!$D$15)))))*Data!$G$15</f>
        <v>5.818104714959145</v>
      </c>
      <c r="K24" s="44">
        <f>(ABS((SQRT(2-1/((1+(Data!$D27/Data!$D$16))/2))-1)+ABS(SQRT(2/(Data!$D27/Data!$D$16)-1/((1+(Data!$D27/Data!$D$16))/2))-SQRT(1/(Data!$D27/Data!$D$16)))))*Data!$G$16</f>
        <v>5.818104714959145</v>
      </c>
      <c r="L24" s="44">
        <f>(ABS((SQRT(2-1/((1+(Data!$D27/Data!$D$17))/2))-1)+ABS(SQRT(2/(Data!$D27/Data!$D$17)-1/((1+(Data!$D27/Data!$D$17))/2))-SQRT(1/(Data!$D27/Data!$D$17)))))*Data!$G$17</f>
        <v>5.818104714959145</v>
      </c>
      <c r="M24" s="44">
        <f>(ABS((SQRT(2-1/((1+(Data!$D27/Data!$D$18))/2))-1)+ABS(SQRT(2/(Data!$D27/Data!$D$18)-1/((1+(Data!$D27/Data!$D$18))/2))-SQRT(1/(Data!$D27/Data!$D$18)))))*Data!$G$18</f>
        <v>5.211936139489173</v>
      </c>
      <c r="N24" s="44">
        <f>(ABS((SQRT(2-1/((1+(Data!$D27/Data!$D$19))/2))-1)+ABS(SQRT(2/(Data!$D27/Data!$D$19)-1/((1+(Data!$D27/Data!$D$19))/2))-SQRT(1/(Data!$D27/Data!$D$19)))))*Data!$G$19</f>
        <v>5.211936139489173</v>
      </c>
      <c r="O24" s="44">
        <f>(ABS((SQRT(2-1/((1+(Data!$D27/Data!$D$20))/2))-1)+ABS(SQRT(2/(Data!$D27/Data!$D$20)-1/((1+(Data!$D27/Data!$D$20))/2))-SQRT(1/(Data!$D27/Data!$D$20)))))*Data!$G$20</f>
        <v>4.48211523554418</v>
      </c>
      <c r="P24" s="44">
        <f>(ABS((SQRT(2-1/((1+(Data!$D27/Data!$D$21))/2))-1)+ABS(SQRT(2/(Data!$D27/Data!$D$21)-1/((1+(Data!$D27/Data!$D$21))/2))-SQRT(1/(Data!$D27/Data!$D$21)))))*Data!$G$21</f>
        <v>2.979514908646443</v>
      </c>
      <c r="Q24" s="44">
        <f>(ABS((SQRT(2-1/((1+(Data!$D27/Data!$D$22))/2))-1)+ABS(SQRT(2/(Data!$D27/Data!$D$22)-1/((1+(Data!$D27/Data!$D$22))/2))-SQRT(1/(Data!$D27/Data!$D$22)))))*Data!$G$22</f>
        <v>2.6851735580235956</v>
      </c>
      <c r="R24" s="44">
        <f>(ABS((SQRT(2-1/((1+(Data!$D27/Data!$D$23))/2))-1)+ABS(SQRT(2/(Data!$D27/Data!$D$23)-1/((1+(Data!$D27/Data!$D$23))/2))-SQRT(1/(Data!$D27/Data!$D$23)))))*Data!$G$23</f>
        <v>1.4971456487928252</v>
      </c>
      <c r="S24" s="44">
        <f>(ABS((SQRT(2-1/((1+(Data!$D27/Data!$D$24))/2))-1)+ABS(SQRT(2/(Data!$D27/Data!$D$24)-1/((1+(Data!$D27/Data!$D$24))/2))-SQRT(1/(Data!$D27/Data!$D$24)))))*Data!$G$24</f>
        <v>0.245502893537503</v>
      </c>
      <c r="T24" s="44">
        <f>(ABS((SQRT(2-1/((1+(Data!$D27/Data!$D$25))/2))-1)+ABS(SQRT(2/(Data!$D27/Data!$D$25)-1/((1+(Data!$D27/Data!$D$25))/2))-SQRT(1/(Data!$D27/Data!$D$25)))))*Data!$G$25</f>
        <v>0.2399877647324426</v>
      </c>
      <c r="U24" s="44" t="e">
        <f>(ABS((SQRT(2-1/((1+(Data!$D27/Data!$D$26))/2))-1)+ABS(SQRT(2/(Data!$D27/Data!$D$26)-1/((1+(Data!$D27/Data!$D$26))/2))-SQRT(1/(Data!$D27/Data!$D$26)))))*Data!$G$26</f>
        <v>#NUM!</v>
      </c>
      <c r="V24" s="40">
        <f>(SQRT(G*Data!$B27/Data!$C27))/1000</f>
        <v>0.00528694590822902</v>
      </c>
      <c r="W24" s="41" t="e">
        <f>V25+orbit21+orbit22</f>
        <v>#NUM!</v>
      </c>
      <c r="X24" s="41">
        <f>V26+orbit21+orbit23</f>
        <v>0.07056891330209177</v>
      </c>
      <c r="Y24" s="41">
        <f>V27+orbit21+orbit24</f>
        <v>0.11932342084688369</v>
      </c>
      <c r="Z24" s="41">
        <f>V28+orbit21+orbit25</f>
        <v>0.14795004437254053</v>
      </c>
      <c r="AA24" s="41">
        <f>V29+orbit21+orbit26</f>
        <v>0.14634494919505966</v>
      </c>
      <c r="AB24" s="41" t="e">
        <f>V30+orbit21+orbit27</f>
        <v>#NUM!</v>
      </c>
      <c r="AC24" s="41" t="e">
        <f>V31+orbit21+orbit28</f>
        <v>#NUM!</v>
      </c>
      <c r="AD24" s="41" t="e">
        <f>V32+orbit21+orbit29</f>
        <v>#NUM!</v>
      </c>
      <c r="AE24" s="41" t="e">
        <f>V33+orbit21+orbit30</f>
        <v>#NUM!</v>
      </c>
      <c r="AF24" s="19" t="str">
        <f>Data!A27</f>
        <v>S/2000 S 2</v>
      </c>
    </row>
    <row r="25" spans="1:32" ht="12.75">
      <c r="A25" s="3" t="str">
        <f>Data!A28</f>
        <v>S/2000 S 8</v>
      </c>
      <c r="B25" s="42" t="e">
        <f>(ABS((SQRT(2-1/((1+(Data!$D28/Data!$D$7))/2))-1)+ABS(SQRT(2/(Data!$D28/Data!$D$7)-1/((1+(Data!$D28/Data!$D$7))/2))-SQRT(1/(Data!$D28/Data!$D$7)))))*Data!$G$7</f>
        <v>#NUM!</v>
      </c>
      <c r="C25" s="42" t="e">
        <f>(ABS((SQRT(2-1/((1+(Data!$D28/Data!$D$8))/2))-1)+ABS(SQRT(2/(Data!$D28/Data!$D$8)-1/((1+(Data!$D28/Data!$D$8))/2))-SQRT(1/(Data!$D28/Data!$D$8)))))*Data!$G$8</f>
        <v>#NUM!</v>
      </c>
      <c r="D25" s="42" t="e">
        <f>(ABS((SQRT(2-1/((1+(Data!$D28/Data!$D$9))/2))-1)+ABS(SQRT(2/(Data!$D28/Data!$D$9)-1/((1+(Data!$D28/Data!$D$9))/2))-SQRT(1/(Data!$D28/Data!$D$9)))))*Data!$G$9</f>
        <v>#NUM!</v>
      </c>
      <c r="E25" s="42" t="e">
        <f>(ABS((SQRT(2-1/((1+(Data!$D28/Data!$D$10))/2))-1)+ABS(SQRT(2/(Data!$D28/Data!$D$10)-1/((1+(Data!$D28/Data!$D$10))/2))-SQRT(1/(Data!$D28/Data!$D$10)))))*Data!$G$10</f>
        <v>#NUM!</v>
      </c>
      <c r="F25" s="42" t="e">
        <f>(ABS((SQRT(2-1/((1+(Data!$D28/Data!$D$11))/2))-1)+ABS(SQRT(2/(Data!$D28/Data!$D$11)-1/((1+(Data!$D28/Data!$D$11))/2))-SQRT(1/(Data!$D28/Data!$D$11)))))*Data!$G$11</f>
        <v>#NUM!</v>
      </c>
      <c r="G25" s="42" t="e">
        <f>(ABS((SQRT(2-1/((1+(Data!$D28/Data!$D$12))/2))-1)+ABS(SQRT(2/(Data!$D28/Data!$D$12)-1/((1+(Data!$D28/Data!$D$12))/2))-SQRT(1/(Data!$D28/Data!$D$12)))))*Data!$G$12</f>
        <v>#NUM!</v>
      </c>
      <c r="H25" s="42" t="e">
        <f>(ABS((SQRT(2-1/((1+(Data!$D28/Data!$D$13))/2))-1)+ABS(SQRT(2/(Data!$D28/Data!$D$13)-1/((1+(Data!$D28/Data!$D$13))/2))-SQRT(1/(Data!$D28/Data!$D$13)))))*Data!$G$13</f>
        <v>#NUM!</v>
      </c>
      <c r="I25" s="42" t="e">
        <f>(ABS((SQRT(2-1/((1+(Data!$D28/Data!$D$14))/2))-1)+ABS(SQRT(2/(Data!$D28/Data!$D$14)-1/((1+(Data!$D28/Data!$D$14))/2))-SQRT(1/(Data!$D28/Data!$D$14)))))*Data!$G$14</f>
        <v>#NUM!</v>
      </c>
      <c r="J25" s="42" t="e">
        <f>(ABS((SQRT(2-1/((1+(Data!$D28/Data!$D$15))/2))-1)+ABS(SQRT(2/(Data!$D28/Data!$D$15)-1/((1+(Data!$D28/Data!$D$15))/2))-SQRT(1/(Data!$D28/Data!$D$15)))))*Data!$G$15</f>
        <v>#NUM!</v>
      </c>
      <c r="K25" s="42" t="e">
        <f>(ABS((SQRT(2-1/((1+(Data!$D28/Data!$D$16))/2))-1)+ABS(SQRT(2/(Data!$D28/Data!$D$16)-1/((1+(Data!$D28/Data!$D$16))/2))-SQRT(1/(Data!$D28/Data!$D$16)))))*Data!$G$16</f>
        <v>#NUM!</v>
      </c>
      <c r="L25" s="42" t="e">
        <f>(ABS((SQRT(2-1/((1+(Data!$D28/Data!$D$17))/2))-1)+ABS(SQRT(2/(Data!$D28/Data!$D$17)-1/((1+(Data!$D28/Data!$D$17))/2))-SQRT(1/(Data!$D28/Data!$D$17)))))*Data!$G$17</f>
        <v>#NUM!</v>
      </c>
      <c r="M25" s="42" t="e">
        <f>(ABS((SQRT(2-1/((1+(Data!$D28/Data!$D$18))/2))-1)+ABS(SQRT(2/(Data!$D28/Data!$D$18)-1/((1+(Data!$D28/Data!$D$18))/2))-SQRT(1/(Data!$D28/Data!$D$18)))))*Data!$G$18</f>
        <v>#NUM!</v>
      </c>
      <c r="N25" s="42" t="e">
        <f>(ABS((SQRT(2-1/((1+(Data!$D28/Data!$D$19))/2))-1)+ABS(SQRT(2/(Data!$D28/Data!$D$19)-1/((1+(Data!$D28/Data!$D$19))/2))-SQRT(1/(Data!$D28/Data!$D$19)))))*Data!$G$19</f>
        <v>#NUM!</v>
      </c>
      <c r="O25" s="42" t="e">
        <f>(ABS((SQRT(2-1/((1+(Data!$D28/Data!$D$20))/2))-1)+ABS(SQRT(2/(Data!$D28/Data!$D$20)-1/((1+(Data!$D28/Data!$D$20))/2))-SQRT(1/(Data!$D28/Data!$D$20)))))*Data!$G$20</f>
        <v>#NUM!</v>
      </c>
      <c r="P25" s="42" t="e">
        <f>(ABS((SQRT(2-1/((1+(Data!$D28/Data!$D$21))/2))-1)+ABS(SQRT(2/(Data!$D28/Data!$D$21)-1/((1+(Data!$D28/Data!$D$21))/2))-SQRT(1/(Data!$D28/Data!$D$21)))))*Data!$G$21</f>
        <v>#NUM!</v>
      </c>
      <c r="Q25" s="42" t="e">
        <f>(ABS((SQRT(2-1/((1+(Data!$D28/Data!$D$22))/2))-1)+ABS(SQRT(2/(Data!$D28/Data!$D$22)-1/((1+(Data!$D28/Data!$D$22))/2))-SQRT(1/(Data!$D28/Data!$D$22)))))*Data!$G$22</f>
        <v>#NUM!</v>
      </c>
      <c r="R25" s="42" t="e">
        <f>(ABS((SQRT(2-1/((1+(Data!$D28/Data!$D$23))/2))-1)+ABS(SQRT(2/(Data!$D28/Data!$D$23)-1/((1+(Data!$D28/Data!$D$23))/2))-SQRT(1/(Data!$D28/Data!$D$23)))))*Data!$G$23</f>
        <v>#NUM!</v>
      </c>
      <c r="S25" s="42" t="e">
        <f>(ABS((SQRT(2-1/((1+(Data!$D28/Data!$D$24))/2))-1)+ABS(SQRT(2/(Data!$D28/Data!$D$24)-1/((1+(Data!$D28/Data!$D$24))/2))-SQRT(1/(Data!$D28/Data!$D$24)))))*Data!$G$24</f>
        <v>#NUM!</v>
      </c>
      <c r="T25" s="42" t="e">
        <f>(ABS((SQRT(2-1/((1+(Data!$D28/Data!$D$25))/2))-1)+ABS(SQRT(2/(Data!$D28/Data!$D$25)-1/((1+(Data!$D28/Data!$D$25))/2))-SQRT(1/(Data!$D28/Data!$D$25)))))*Data!$G$25</f>
        <v>#NUM!</v>
      </c>
      <c r="U25" s="42" t="e">
        <f>(ABS((SQRT(2-1/((1+(Data!$D28/Data!$D$26))/2))-1)+ABS(SQRT(2/(Data!$D28/Data!$D$26)-1/((1+(Data!$D28/Data!$D$26))/2))-SQRT(1/(Data!$D28/Data!$D$26)))))*Data!$G$26</f>
        <v>#NUM!</v>
      </c>
      <c r="V25" s="42" t="e">
        <f>(ABS((SQRT(2-1/((1+(Data!$D28/Data!$D$27))/2))-1)+ABS(SQRT(2/(Data!$D28/Data!$D$27)-1/((1+(Data!$D28/Data!$D$27))/2))-SQRT(1/(Data!$D28/Data!$D$27)))))*Data!$G$27</f>
        <v>#NUM!</v>
      </c>
      <c r="W25" s="40">
        <f>(SQRT(G*Data!$B28/Data!$C28))/1000</f>
        <v>0.0015860837724687063</v>
      </c>
      <c r="X25" s="43" t="e">
        <f>W26+orbit22+orbit23</f>
        <v>#NUM!</v>
      </c>
      <c r="Y25" s="43" t="e">
        <f>W27+orbit22+orbit24</f>
        <v>#NUM!</v>
      </c>
      <c r="Z25" s="43" t="e">
        <f>W28+orbit22+orbit25</f>
        <v>#NUM!</v>
      </c>
      <c r="AA25" s="43" t="e">
        <f>W29+orbit22+orbit26</f>
        <v>#NUM!</v>
      </c>
      <c r="AB25" s="43" t="e">
        <f>W30+orbit22+orbit27</f>
        <v>#NUM!</v>
      </c>
      <c r="AC25" s="43" t="e">
        <f>W31+orbit22+orbit28</f>
        <v>#NUM!</v>
      </c>
      <c r="AD25" s="43" t="e">
        <f>W32+orbit22+orbit29</f>
        <v>#NUM!</v>
      </c>
      <c r="AE25" s="43" t="e">
        <f>W33+orbit22+orbit30</f>
        <v>#NUM!</v>
      </c>
      <c r="AF25" s="19" t="str">
        <f>Data!A28</f>
        <v>S/2000 S 8</v>
      </c>
    </row>
    <row r="26" spans="1:32" ht="12.75">
      <c r="A26" s="3" t="str">
        <f>Data!A29</f>
        <v>S/2000 S 11</v>
      </c>
      <c r="B26" s="44">
        <f>(ABS((SQRT(2-1/((1+(Data!$D29/Data!$D$7))/2))-1)+ABS(SQRT(2/(Data!$D29/Data!$D$7)-1/((1+(Data!$D29/Data!$D$7))/2))-SQRT(1/(Data!$D29/Data!$D$7)))))*Data!$G$7</f>
        <v>8.211410360342478</v>
      </c>
      <c r="C26" s="44">
        <f>(ABS((SQRT(2-1/((1+(Data!$D29/Data!$D$8))/2))-1)+ABS(SQRT(2/(Data!$D29/Data!$D$8)-1/((1+(Data!$D29/Data!$D$8))/2))-SQRT(1/(Data!$D29/Data!$D$8)))))*Data!$G$8</f>
        <v>8.102661476093843</v>
      </c>
      <c r="D26" s="44">
        <f>(ABS((SQRT(2-1/((1+(Data!$D29/Data!$D$9))/2))-1)+ABS(SQRT(2/(Data!$D29/Data!$D$9)-1/((1+(Data!$D29/Data!$D$9))/2))-SQRT(1/(Data!$D29/Data!$D$9)))))*Data!$G$9</f>
        <v>8.059239735152302</v>
      </c>
      <c r="E26" s="44">
        <f>(ABS((SQRT(2-1/((1+(Data!$D29/Data!$D$10))/2))-1)+ABS(SQRT(2/(Data!$D29/Data!$D$10)-1/((1+(Data!$D29/Data!$D$10))/2))-SQRT(1/(Data!$D29/Data!$D$10)))))*Data!$G$10</f>
        <v>7.999948469898853</v>
      </c>
      <c r="F26" s="44">
        <f>(ABS((SQRT(2-1/((1+(Data!$D29/Data!$D$11))/2))-1)+ABS(SQRT(2/(Data!$D29/Data!$D$11)-1/((1+(Data!$D29/Data!$D$11))/2))-SQRT(1/(Data!$D29/Data!$D$11)))))*Data!$G$11</f>
        <v>7.768809181243152</v>
      </c>
      <c r="G26" s="44">
        <f>(ABS((SQRT(2-1/((1+(Data!$D29/Data!$D$12))/2))-1)+ABS(SQRT(2/(Data!$D29/Data!$D$12)-1/((1+(Data!$D29/Data!$D$12))/2))-SQRT(1/(Data!$D29/Data!$D$12)))))*Data!$G$12</f>
        <v>7.767676649300508</v>
      </c>
      <c r="H26" s="44">
        <f>(ABS((SQRT(2-1/((1+(Data!$D29/Data!$D$13))/2))-1)+ABS(SQRT(2/(Data!$D29/Data!$D$13)-1/((1+(Data!$D29/Data!$D$13))/2))-SQRT(1/(Data!$D29/Data!$D$13)))))*Data!$G$13</f>
        <v>7.103190839580296</v>
      </c>
      <c r="I26" s="44">
        <f>(ABS((SQRT(2-1/((1+(Data!$D29/Data!$D$14))/2))-1)+ABS(SQRT(2/(Data!$D29/Data!$D$14)-1/((1+(Data!$D29/Data!$D$14))/2))-SQRT(1/(Data!$D29/Data!$D$14)))))*Data!$G$14</f>
        <v>6.364787099684679</v>
      </c>
      <c r="J26" s="44">
        <f>(ABS((SQRT(2-1/((1+(Data!$D29/Data!$D$15))/2))-1)+ABS(SQRT(2/(Data!$D29/Data!$D$15)-1/((1+(Data!$D29/Data!$D$15))/2))-SQRT(1/(Data!$D29/Data!$D$15)))))*Data!$G$15</f>
        <v>5.7928293616003455</v>
      </c>
      <c r="K26" s="44">
        <f>(ABS((SQRT(2-1/((1+(Data!$D29/Data!$D$16))/2))-1)+ABS(SQRT(2/(Data!$D29/Data!$D$16)-1/((1+(Data!$D29/Data!$D$16))/2))-SQRT(1/(Data!$D29/Data!$D$16)))))*Data!$G$16</f>
        <v>5.7928293616003455</v>
      </c>
      <c r="L26" s="44">
        <f>(ABS((SQRT(2-1/((1+(Data!$D29/Data!$D$17))/2))-1)+ABS(SQRT(2/(Data!$D29/Data!$D$17)-1/((1+(Data!$D29/Data!$D$17))/2))-SQRT(1/(Data!$D29/Data!$D$17)))))*Data!$G$17</f>
        <v>5.7928293616003455</v>
      </c>
      <c r="M26" s="44">
        <f>(ABS((SQRT(2-1/((1+(Data!$D29/Data!$D$18))/2))-1)+ABS(SQRT(2/(Data!$D29/Data!$D$18)-1/((1+(Data!$D29/Data!$D$18))/2))-SQRT(1/(Data!$D29/Data!$D$18)))))*Data!$G$18</f>
        <v>5.190804723020602</v>
      </c>
      <c r="N26" s="44">
        <f>(ABS((SQRT(2-1/((1+(Data!$D29/Data!$D$19))/2))-1)+ABS(SQRT(2/(Data!$D29/Data!$D$19)-1/((1+(Data!$D29/Data!$D$19))/2))-SQRT(1/(Data!$D29/Data!$D$19)))))*Data!$G$19</f>
        <v>5.190804723020602</v>
      </c>
      <c r="O26" s="44">
        <f>(ABS((SQRT(2-1/((1+(Data!$D29/Data!$D$20))/2))-1)+ABS(SQRT(2/(Data!$D29/Data!$D$20)-1/((1+(Data!$D29/Data!$D$20))/2))-SQRT(1/(Data!$D29/Data!$D$20)))))*Data!$G$20</f>
        <v>4.467293115391668</v>
      </c>
      <c r="P26" s="44">
        <f>(ABS((SQRT(2-1/((1+(Data!$D29/Data!$D$21))/2))-1)+ABS(SQRT(2/(Data!$D29/Data!$D$21)-1/((1+(Data!$D29/Data!$D$21))/2))-SQRT(1/(Data!$D29/Data!$D$21)))))*Data!$G$21</f>
        <v>2.984357724735216</v>
      </c>
      <c r="Q26" s="44">
        <f>(ABS((SQRT(2-1/((1+(Data!$D29/Data!$D$22))/2))-1)+ABS(SQRT(2/(Data!$D29/Data!$D$22)-1/((1+(Data!$D29/Data!$D$22))/2))-SQRT(1/(Data!$D29/Data!$D$22)))))*Data!$G$22</f>
        <v>2.6952063335313254</v>
      </c>
      <c r="R26" s="44">
        <f>(ABS((SQRT(2-1/((1+(Data!$D29/Data!$D$23))/2))-1)+ABS(SQRT(2/(Data!$D29/Data!$D$23)-1/((1+(Data!$D29/Data!$D$23))/2))-SQRT(1/(Data!$D29/Data!$D$23)))))*Data!$G$23</f>
        <v>1.5320296069886148</v>
      </c>
      <c r="S26" s="44">
        <f>(ABS((SQRT(2-1/((1+(Data!$D29/Data!$D$24))/2))-1)+ABS(SQRT(2/(Data!$D29/Data!$D$24)-1/((1+(Data!$D29/Data!$D$24))/2))-SQRT(1/(Data!$D29/Data!$D$24)))))*Data!$G$24</f>
        <v>0.30270172024242054</v>
      </c>
      <c r="T26" s="44">
        <f>(ABS((SQRT(2-1/((1+(Data!$D29/Data!$D$25))/2))-1)+ABS(SQRT(2/(Data!$D29/Data!$D$25)-1/((1+(Data!$D29/Data!$D$25))/2))-SQRT(1/(Data!$D29/Data!$D$25)))))*Data!$G$25</f>
        <v>0.29723262332075157</v>
      </c>
      <c r="U26" s="44" t="e">
        <f>(ABS((SQRT(2-1/((1+(Data!$D29/Data!$D$26))/2))-1)+ABS(SQRT(2/(Data!$D29/Data!$D$26)-1/((1+(Data!$D29/Data!$D$26))/2))-SQRT(1/(Data!$D29/Data!$D$26)))))*Data!$G$26</f>
        <v>#NUM!</v>
      </c>
      <c r="V26" s="44">
        <f>(ABS((SQRT(2-1/((1+(Data!$D29/Data!$D$27))/2))-1)+ABS(SQRT(2/(Data!$D29/Data!$D$27)-1/((1+(Data!$D29/Data!$D$27))/2))-SQRT(1/(Data!$D29/Data!$D$27)))))*Data!$G$27</f>
        <v>0.05840893771316503</v>
      </c>
      <c r="W26" s="44" t="e">
        <f>(ABS((SQRT(2-1/((1+(Data!$D29/Data!$D$28))/2))-1)+ABS(SQRT(2/(Data!$D29/Data!$D$28)-1/((1+(Data!$D29/Data!$D$28))/2))-SQRT(1/(Data!$D29/Data!$D$28)))))*Data!$G$28</f>
        <v>#NUM!</v>
      </c>
      <c r="X26" s="40">
        <f>(SQRT(G*Data!$B29/Data!$C29))/1000</f>
        <v>0.006873029680697727</v>
      </c>
      <c r="Y26" s="41">
        <f>X27+orbit23+orbit24</f>
        <v>0.06261397990689156</v>
      </c>
      <c r="Z26" s="41">
        <f>X28+orbit23+orbit25</f>
        <v>0.09132183742088035</v>
      </c>
      <c r="AA26" s="41">
        <f>X29+orbit23+orbit26</f>
        <v>0.08972991340864224</v>
      </c>
      <c r="AB26" s="41" t="e">
        <f>X30+orbit23+orbit27</f>
        <v>#NUM!</v>
      </c>
      <c r="AC26" s="41" t="e">
        <f>X31+orbit23+orbit28</f>
        <v>#NUM!</v>
      </c>
      <c r="AD26" s="41" t="e">
        <f>X32+orbit23+orbit29</f>
        <v>#NUM!</v>
      </c>
      <c r="AE26" s="41" t="e">
        <f>X33+orbit23+orbit30</f>
        <v>#NUM!</v>
      </c>
      <c r="AF26" s="19" t="str">
        <f>Data!A29</f>
        <v>S/2000 S 11</v>
      </c>
    </row>
    <row r="27" spans="1:32" ht="12.75">
      <c r="A27" s="3" t="str">
        <f>Data!A30</f>
        <v>S/2000 S 10</v>
      </c>
      <c r="B27" s="42">
        <f>(ABS((SQRT(2-1/((1+(Data!$D30/Data!$D$7))/2))-1)+ABS(SQRT(2/(Data!$D30/Data!$D$7)-1/((1+(Data!$D30/Data!$D$7))/2))-SQRT(1/(Data!$D30/Data!$D$7)))))*Data!$G$7</f>
        <v>8.177767649881527</v>
      </c>
      <c r="C27" s="42">
        <f>(ABS((SQRT(2-1/((1+(Data!$D30/Data!$D$8))/2))-1)+ABS(SQRT(2/(Data!$D30/Data!$D$8)-1/((1+(Data!$D30/Data!$D$8))/2))-SQRT(1/(Data!$D30/Data!$D$8)))))*Data!$G$8</f>
        <v>8.069316776144516</v>
      </c>
      <c r="D27" s="42">
        <f>(ABS((SQRT(2-1/((1+(Data!$D30/Data!$D$9))/2))-1)+ABS(SQRT(2/(Data!$D30/Data!$D$9)-1/((1+(Data!$D30/Data!$D$9))/2))-SQRT(1/(Data!$D30/Data!$D$9)))))*Data!$G$9</f>
        <v>8.026016394288934</v>
      </c>
      <c r="E27" s="42">
        <f>(ABS((SQRT(2-1/((1+(Data!$D30/Data!$D$10))/2))-1)+ABS(SQRT(2/(Data!$D30/Data!$D$10)-1/((1+(Data!$D30/Data!$D$10))/2))-SQRT(1/(Data!$D30/Data!$D$10)))))*Data!$G$10</f>
        <v>7.966893081797738</v>
      </c>
      <c r="F27" s="42">
        <f>(ABS((SQRT(2-1/((1+(Data!$D30/Data!$D$11))/2))-1)+ABS(SQRT(2/(Data!$D30/Data!$D$11)-1/((1+(Data!$D30/Data!$D$11))/2))-SQRT(1/(Data!$D30/Data!$D$11)))))*Data!$G$11</f>
        <v>7.7364342796726175</v>
      </c>
      <c r="G27" s="42">
        <f>(ABS((SQRT(2-1/((1+(Data!$D30/Data!$D$12))/2))-1)+ABS(SQRT(2/(Data!$D30/Data!$D$12)-1/((1+(Data!$D30/Data!$D$12))/2))-SQRT(1/(Data!$D30/Data!$D$12)))))*Data!$G$12</f>
        <v>7.735305186592016</v>
      </c>
      <c r="H27" s="42">
        <f>(ABS((SQRT(2-1/((1+(Data!$D30/Data!$D$13))/2))-1)+ABS(SQRT(2/(Data!$D30/Data!$D$13)-1/((1+(Data!$D30/Data!$D$13))/2))-SQRT(1/(Data!$D30/Data!$D$13)))))*Data!$G$13</f>
        <v>7.073034686723559</v>
      </c>
      <c r="I27" s="42">
        <f>(ABS((SQRT(2-1/((1+(Data!$D30/Data!$D$14))/2))-1)+ABS(SQRT(2/(Data!$D30/Data!$D$14)-1/((1+(Data!$D30/Data!$D$14))/2))-SQRT(1/(Data!$D30/Data!$D$14)))))*Data!$G$14</f>
        <v>6.337653093536356</v>
      </c>
      <c r="J27" s="42">
        <f>(ABS((SQRT(2-1/((1+(Data!$D30/Data!$D$15))/2))-1)+ABS(SQRT(2/(Data!$D30/Data!$D$15)-1/((1+(Data!$D30/Data!$D$15))/2))-SQRT(1/(Data!$D30/Data!$D$15)))))*Data!$G$15</f>
        <v>5.768568851679071</v>
      </c>
      <c r="K27" s="42">
        <f>(ABS((SQRT(2-1/((1+(Data!$D30/Data!$D$16))/2))-1)+ABS(SQRT(2/(Data!$D30/Data!$D$16)-1/((1+(Data!$D30/Data!$D$16))/2))-SQRT(1/(Data!$D30/Data!$D$16)))))*Data!$G$16</f>
        <v>5.768568851679071</v>
      </c>
      <c r="L27" s="42">
        <f>(ABS((SQRT(2-1/((1+(Data!$D30/Data!$D$17))/2))-1)+ABS(SQRT(2/(Data!$D30/Data!$D$17)-1/((1+(Data!$D30/Data!$D$17))/2))-SQRT(1/(Data!$D30/Data!$D$17)))))*Data!$G$17</f>
        <v>5.768568851679071</v>
      </c>
      <c r="M27" s="42">
        <f>(ABS((SQRT(2-1/((1+(Data!$D30/Data!$D$18))/2))-1)+ABS(SQRT(2/(Data!$D30/Data!$D$18)-1/((1+(Data!$D30/Data!$D$18))/2))-SQRT(1/(Data!$D30/Data!$D$18)))))*Data!$G$18</f>
        <v>5.170230452821371</v>
      </c>
      <c r="N27" s="42">
        <f>(ABS((SQRT(2-1/((1+(Data!$D30/Data!$D$19))/2))-1)+ABS(SQRT(2/(Data!$D30/Data!$D$19)-1/((1+(Data!$D30/Data!$D$19))/2))-SQRT(1/(Data!$D30/Data!$D$19)))))*Data!$G$19</f>
        <v>5.170230452821371</v>
      </c>
      <c r="O27" s="42">
        <f>(ABS((SQRT(2-1/((1+(Data!$D30/Data!$D$20))/2))-1)+ABS(SQRT(2/(Data!$D30/Data!$D$20)-1/((1+(Data!$D30/Data!$D$20))/2))-SQRT(1/(Data!$D30/Data!$D$20)))))*Data!$G$20</f>
        <v>4.452341236829743</v>
      </c>
      <c r="P27" s="42">
        <f>(ABS((SQRT(2-1/((1+(Data!$D30/Data!$D$21))/2))-1)+ABS(SQRT(2/(Data!$D30/Data!$D$21)-1/((1+(Data!$D30/Data!$D$21))/2))-SQRT(1/(Data!$D30/Data!$D$21)))))*Data!$G$21</f>
        <v>2.987035092236394</v>
      </c>
      <c r="Q27" s="42">
        <f>(ABS((SQRT(2-1/((1+(Data!$D30/Data!$D$22))/2))-1)+ABS(SQRT(2/(Data!$D30/Data!$D$22)-1/((1+(Data!$D30/Data!$D$22))/2))-SQRT(1/(Data!$D30/Data!$D$22)))))*Data!$G$22</f>
        <v>2.7025720427945914</v>
      </c>
      <c r="R27" s="42">
        <f>(ABS((SQRT(2-1/((1+(Data!$D30/Data!$D$23))/2))-1)+ABS(SQRT(2/(Data!$D30/Data!$D$23)-1/((1+(Data!$D30/Data!$D$23))/2))-SQRT(1/(Data!$D30/Data!$D$23)))))*Data!$G$23</f>
        <v>1.5621879079278373</v>
      </c>
      <c r="S27" s="42">
        <f>(ABS((SQRT(2-1/((1+(Data!$D30/Data!$D$24))/2))-1)+ABS(SQRT(2/(Data!$D30/Data!$D$24)-1/((1+(Data!$D30/Data!$D$24))/2))-SQRT(1/(Data!$D30/Data!$D$24)))))*Data!$G$24</f>
        <v>0.35464511396186943</v>
      </c>
      <c r="T27" s="42">
        <f>(ABS((SQRT(2-1/((1+(Data!$D30/Data!$D$25))/2))-1)+ABS(SQRT(2/(Data!$D30/Data!$D$25)-1/((1+(Data!$D30/Data!$D$25))/2))-SQRT(1/(Data!$D30/Data!$D$25)))))*Data!$G$25</f>
        <v>0.3492280719330002</v>
      </c>
      <c r="U27" s="42" t="e">
        <f>(ABS((SQRT(2-1/((1+(Data!$D30/Data!$D$26))/2))-1)+ABS(SQRT(2/(Data!$D30/Data!$D$26)-1/((1+(Data!$D30/Data!$D$26))/2))-SQRT(1/(Data!$D30/Data!$D$26)))))*Data!$G$26</f>
        <v>#NUM!</v>
      </c>
      <c r="V27" s="42">
        <f>(ABS((SQRT(2-1/((1+(Data!$D30/Data!$D$27))/2))-1)+ABS(SQRT(2/(Data!$D30/Data!$D$27)-1/((1+(Data!$D30/Data!$D$27))/2))-SQRT(1/(Data!$D30/Data!$D$27)))))*Data!$G$27</f>
        <v>0.11192169657536306</v>
      </c>
      <c r="W27" s="42" t="e">
        <f>(ABS((SQRT(2-1/((1+(Data!$D30/Data!$D$28))/2))-1)+ABS(SQRT(2/(Data!$D30/Data!$D$28)-1/((1+(Data!$D30/Data!$D$28))/2))-SQRT(1/(Data!$D30/Data!$D$28)))))*Data!$G$28</f>
        <v>#NUM!</v>
      </c>
      <c r="X27" s="42">
        <f>(ABS((SQRT(2-1/((1+(Data!$D30/Data!$D$29))/2))-1)+ABS(SQRT(2/(Data!$D30/Data!$D$29)-1/((1+(Data!$D30/Data!$D$29))/2))-SQRT(1/(Data!$D30/Data!$D$29)))))*Data!$G$29</f>
        <v>0.05362617186290223</v>
      </c>
      <c r="Y27" s="40">
        <f>(SQRT(G*Data!$B30/Data!$C30))/1000</f>
        <v>0.002114778363291608</v>
      </c>
      <c r="Z27" s="43">
        <f>Y28+orbit24+orbit25</f>
        <v>0.03296874930899096</v>
      </c>
      <c r="AA27" s="43">
        <f>Y29+orbit24+orbit26</f>
        <v>0.031382808612192975</v>
      </c>
      <c r="AB27" s="43" t="e">
        <f>Y30+orbit24+orbit27</f>
        <v>#NUM!</v>
      </c>
      <c r="AC27" s="43" t="e">
        <f>Y31+orbit24+orbit28</f>
        <v>#NUM!</v>
      </c>
      <c r="AD27" s="43" t="e">
        <f>Y32+orbit24+orbit29</f>
        <v>#NUM!</v>
      </c>
      <c r="AE27" s="43" t="e">
        <f>Y33+orbit24+orbit30</f>
        <v>#NUM!</v>
      </c>
      <c r="AF27" s="19" t="str">
        <f>Data!A30</f>
        <v>S/2000 S 10</v>
      </c>
    </row>
    <row r="28" spans="1:32" ht="12.75">
      <c r="A28" s="3" t="str">
        <f>Data!A31</f>
        <v>S/2000 S 3</v>
      </c>
      <c r="B28" s="44">
        <f>(ABS((SQRT(2-1/((1+(Data!$D31/Data!$D$7))/2))-1)+ABS(SQRT(2/(Data!$D31/Data!$D$7)-1/((1+(Data!$D31/Data!$D$7))/2))-SQRT(1/(Data!$D31/Data!$D$7)))))*Data!$G$7</f>
        <v>8.163513098238425</v>
      </c>
      <c r="C28" s="44">
        <f>(ABS((SQRT(2-1/((1+(Data!$D31/Data!$D$8))/2))-1)+ABS(SQRT(2/(Data!$D31/Data!$D$8)-1/((1+(Data!$D31/Data!$D$8))/2))-SQRT(1/(Data!$D31/Data!$D$8)))))*Data!$G$8</f>
        <v>8.055183649590129</v>
      </c>
      <c r="D28" s="44">
        <f>(ABS((SQRT(2-1/((1+(Data!$D31/Data!$D$9))/2))-1)+ABS(SQRT(2/(Data!$D31/Data!$D$9)-1/((1+(Data!$D31/Data!$D$9))/2))-SQRT(1/(Data!$D31/Data!$D$9)))))*Data!$G$9</f>
        <v>8.01193271725841</v>
      </c>
      <c r="E28" s="44">
        <f>(ABS((SQRT(2-1/((1+(Data!$D31/Data!$D$10))/2))-1)+ABS(SQRT(2/(Data!$D31/Data!$D$10)-1/((1+(Data!$D31/Data!$D$10))/2))-SQRT(1/(Data!$D31/Data!$D$10)))))*Data!$G$10</f>
        <v>7.952877840986419</v>
      </c>
      <c r="F28" s="44">
        <f>(ABS((SQRT(2-1/((1+(Data!$D31/Data!$D$11))/2))-1)+ABS(SQRT(2/(Data!$D31/Data!$D$11)-1/((1+(Data!$D31/Data!$D$11))/2))-SQRT(1/(Data!$D31/Data!$D$11)))))*Data!$G$11</f>
        <v>7.722696335975858</v>
      </c>
      <c r="G28" s="44">
        <f>(ABS((SQRT(2-1/((1+(Data!$D31/Data!$D$12))/2))-1)+ABS(SQRT(2/(Data!$D31/Data!$D$12)-1/((1+(Data!$D31/Data!$D$12))/2))-SQRT(1/(Data!$D31/Data!$D$12)))))*Data!$G$12</f>
        <v>7.721568644296893</v>
      </c>
      <c r="H28" s="44">
        <f>(ABS((SQRT(2-1/((1+(Data!$D31/Data!$D$13))/2))-1)+ABS(SQRT(2/(Data!$D31/Data!$D$13)-1/((1+(Data!$D31/Data!$D$13))/2))-SQRT(1/(Data!$D31/Data!$D$13)))))*Data!$G$13</f>
        <v>7.060201081340879</v>
      </c>
      <c r="I28" s="44">
        <f>(ABS((SQRT(2-1/((1+(Data!$D31/Data!$D$14))/2))-1)+ABS(SQRT(2/(Data!$D31/Data!$D$14)-1/((1+(Data!$D31/Data!$D$14))/2))-SQRT(1/(Data!$D31/Data!$D$14)))))*Data!$G$14</f>
        <v>6.326051829312969</v>
      </c>
      <c r="J28" s="44">
        <f>(ABS((SQRT(2-1/((1+(Data!$D31/Data!$D$15))/2))-1)+ABS(SQRT(2/(Data!$D31/Data!$D$15)-1/((1+(Data!$D31/Data!$D$15))/2))-SQRT(1/(Data!$D31/Data!$D$15)))))*Data!$G$15</f>
        <v>5.758139971701249</v>
      </c>
      <c r="K28" s="44">
        <f>(ABS((SQRT(2-1/((1+(Data!$D31/Data!$D$16))/2))-1)+ABS(SQRT(2/(Data!$D31/Data!$D$16)-1/((1+(Data!$D31/Data!$D$16))/2))-SQRT(1/(Data!$D31/Data!$D$16)))))*Data!$G$16</f>
        <v>5.758139971701249</v>
      </c>
      <c r="L28" s="44">
        <f>(ABS((SQRT(2-1/((1+(Data!$D31/Data!$D$17))/2))-1)+ABS(SQRT(2/(Data!$D31/Data!$D$17)-1/((1+(Data!$D31/Data!$D$17))/2))-SQRT(1/(Data!$D31/Data!$D$17)))))*Data!$G$17</f>
        <v>5.758139971701249</v>
      </c>
      <c r="M28" s="44">
        <f>(ABS((SQRT(2-1/((1+(Data!$D31/Data!$D$18))/2))-1)+ABS(SQRT(2/(Data!$D31/Data!$D$18)-1/((1+(Data!$D31/Data!$D$18))/2))-SQRT(1/(Data!$D31/Data!$D$18)))))*Data!$G$18</f>
        <v>5.161306624858579</v>
      </c>
      <c r="N28" s="44">
        <f>(ABS((SQRT(2-1/((1+(Data!$D31/Data!$D$19))/2))-1)+ABS(SQRT(2/(Data!$D31/Data!$D$19)-1/((1+(Data!$D31/Data!$D$19))/2))-SQRT(1/(Data!$D31/Data!$D$19)))))*Data!$G$19</f>
        <v>5.161306624858579</v>
      </c>
      <c r="O28" s="44">
        <f>(ABS((SQRT(2-1/((1+(Data!$D31/Data!$D$20))/2))-1)+ABS(SQRT(2/(Data!$D31/Data!$D$20)-1/((1+(Data!$D31/Data!$D$20))/2))-SQRT(1/(Data!$D31/Data!$D$20)))))*Data!$G$20</f>
        <v>4.445715661651206</v>
      </c>
      <c r="P28" s="44">
        <f>(ABS((SQRT(2-1/((1+(Data!$D31/Data!$D$21))/2))-1)+ABS(SQRT(2/(Data!$D31/Data!$D$21)-1/((1+(Data!$D31/Data!$D$21))/2))-SQRT(1/(Data!$D31/Data!$D$21)))))*Data!$G$21</f>
        <v>2.987644404487027</v>
      </c>
      <c r="Q28" s="44">
        <f>(ABS((SQRT(2-1/((1+(Data!$D31/Data!$D$22))/2))-1)+ABS(SQRT(2/(Data!$D31/Data!$D$22)-1/((1+(Data!$D31/Data!$D$22))/2))-SQRT(1/(Data!$D31/Data!$D$22)))))*Data!$G$22</f>
        <v>2.7051151298031453</v>
      </c>
      <c r="R28" s="44">
        <f>(ABS((SQRT(2-1/((1+(Data!$D31/Data!$D$23))/2))-1)+ABS(SQRT(2/(Data!$D31/Data!$D$23)-1/((1+(Data!$D31/Data!$D$23))/2))-SQRT(1/(Data!$D31/Data!$D$23)))))*Data!$G$23</f>
        <v>1.5742271174839118</v>
      </c>
      <c r="S28" s="44">
        <f>(ABS((SQRT(2-1/((1+(Data!$D31/Data!$D$24))/2))-1)+ABS(SQRT(2/(Data!$D31/Data!$D$24)-1/((1+(Data!$D31/Data!$D$24))/2))-SQRT(1/(Data!$D31/Data!$D$24)))))*Data!$G$24</f>
        <v>0.3761375819185098</v>
      </c>
      <c r="T28" s="44">
        <f>(ABS((SQRT(2-1/((1+(Data!$D31/Data!$D$25))/2))-1)+ABS(SQRT(2/(Data!$D31/Data!$D$25)-1/((1+(Data!$D31/Data!$D$25))/2))-SQRT(1/(Data!$D31/Data!$D$25)))))*Data!$G$25</f>
        <v>0.37074511191194515</v>
      </c>
      <c r="U28" s="44" t="e">
        <f>(ABS((SQRT(2-1/((1+(Data!$D31/Data!$D$26))/2))-1)+ABS(SQRT(2/(Data!$D31/Data!$D$26)-1/((1+(Data!$D31/Data!$D$26))/2))-SQRT(1/(Data!$D31/Data!$D$26)))))*Data!$G$26</f>
        <v>#NUM!</v>
      </c>
      <c r="V28" s="44">
        <f>(ABS((SQRT(2-1/((1+(Data!$D31/Data!$D$27))/2))-1)+ABS(SQRT(2/(Data!$D31/Data!$D$27)-1/((1+(Data!$D31/Data!$D$27))/2))-SQRT(1/(Data!$D31/Data!$D$27)))))*Data!$G$27</f>
        <v>0.13420398501114508</v>
      </c>
      <c r="W28" s="44" t="e">
        <f>(ABS((SQRT(2-1/((1+(Data!$D31/Data!$D$28))/2))-1)+ABS(SQRT(2/(Data!$D31/Data!$D$28)-1/((1+(Data!$D31/Data!$D$28))/2))-SQRT(1/(Data!$D31/Data!$D$28)))))*Data!$G$28</f>
        <v>#NUM!</v>
      </c>
      <c r="X28" s="44">
        <f>(ABS((SQRT(2-1/((1+(Data!$D31/Data!$D$29))/2))-1)+ABS(SQRT(2/(Data!$D31/Data!$D$29)-1/((1+(Data!$D31/Data!$D$29))/2))-SQRT(1/(Data!$D31/Data!$D$29)))))*Data!$G$29</f>
        <v>0.0759896942870162</v>
      </c>
      <c r="Y28" s="44">
        <f>(ABS((SQRT(2-1/((1+(Data!$D31/Data!$D$30))/2))-1)+ABS(SQRT(2/(Data!$D31/Data!$D$30)-1/((1+(Data!$D31/Data!$D$30))/2))-SQRT(1/(Data!$D31/Data!$D$30)))))*Data!$G$30</f>
        <v>0.02239485749253292</v>
      </c>
      <c r="Z28" s="40">
        <f>(SQRT(G*Data!$B31/Data!$C31))/1000</f>
        <v>0.008459113453166432</v>
      </c>
      <c r="AA28" s="41">
        <f>Z29+orbit25+orbit26</f>
        <v>0.015332932787964448</v>
      </c>
      <c r="AB28" s="41" t="e">
        <f>Z30+orbit25+orbit27</f>
        <v>#NUM!</v>
      </c>
      <c r="AC28" s="41" t="e">
        <f>Z31+orbit25+orbit28</f>
        <v>#NUM!</v>
      </c>
      <c r="AD28" s="41" t="e">
        <f>Z32+orbit25+orbit29</f>
        <v>#NUM!</v>
      </c>
      <c r="AE28" s="41" t="e">
        <f>Z33+orbit25+orbit30</f>
        <v>#NUM!</v>
      </c>
      <c r="AF28" s="19" t="str">
        <f>Data!A31</f>
        <v>S/2000 S 3</v>
      </c>
    </row>
    <row r="29" spans="1:32" ht="12.75">
      <c r="A29" s="3" t="str">
        <f>Data!A32</f>
        <v>S/2000 S 4</v>
      </c>
      <c r="B29" s="42">
        <f>(ABS((SQRT(2-1/((1+(Data!$D32/Data!$D$7))/2))-1)+ABS(SQRT(2/(Data!$D32/Data!$D$7)-1/((1+(Data!$D32/Data!$D$7))/2))-SQRT(1/(Data!$D32/Data!$D$7)))))*Data!$G$7</f>
        <v>8.16148364454838</v>
      </c>
      <c r="C29" s="42">
        <f>(ABS((SQRT(2-1/((1+(Data!$D32/Data!$D$8))/2))-1)+ABS(SQRT(2/(Data!$D32/Data!$D$8)-1/((1+(Data!$D32/Data!$D$8))/2))-SQRT(1/(Data!$D32/Data!$D$8)))))*Data!$G$8</f>
        <v>8.053171255614654</v>
      </c>
      <c r="D29" s="42">
        <f>(ABS((SQRT(2-1/((1+(Data!$D32/Data!$D$9))/2))-1)+ABS(SQRT(2/(Data!$D32/Data!$D$9)-1/((1+(Data!$D32/Data!$D$9))/2))-SQRT(1/(Data!$D32/Data!$D$9)))))*Data!$G$9</f>
        <v>8.009927270801642</v>
      </c>
      <c r="E29" s="42">
        <f>(ABS((SQRT(2-1/((1+(Data!$D32/Data!$D$10))/2))-1)+ABS(SQRT(2/(Data!$D32/Data!$D$10)-1/((1+(Data!$D32/Data!$D$10))/2))-SQRT(1/(Data!$D32/Data!$D$10)))))*Data!$G$10</f>
        <v>7.950882009691572</v>
      </c>
      <c r="F29" s="42">
        <f>(ABS((SQRT(2-1/((1+(Data!$D32/Data!$D$11))/2))-1)+ABS(SQRT(2/(Data!$D32/Data!$D$11)-1/((1+(Data!$D32/Data!$D$11))/2))-SQRT(1/(Data!$D32/Data!$D$11)))))*Data!$G$11</f>
        <v>7.720739465209439</v>
      </c>
      <c r="G29" s="42">
        <f>(ABS((SQRT(2-1/((1+(Data!$D32/Data!$D$12))/2))-1)+ABS(SQRT(2/(Data!$D32/Data!$D$12)-1/((1+(Data!$D32/Data!$D$12))/2))-SQRT(1/(Data!$D32/Data!$D$12)))))*Data!$G$12</f>
        <v>7.719611970432137</v>
      </c>
      <c r="H29" s="42">
        <f>(ABS((SQRT(2-1/((1+(Data!$D32/Data!$D$13))/2))-1)+ABS(SQRT(2/(Data!$D32/Data!$D$13)-1/((1+(Data!$D32/Data!$D$13))/2))-SQRT(1/(Data!$D32/Data!$D$13)))))*Data!$G$13</f>
        <v>7.058371280396757</v>
      </c>
      <c r="I29" s="42">
        <f>(ABS((SQRT(2-1/((1+(Data!$D32/Data!$D$14))/2))-1)+ABS(SQRT(2/(Data!$D32/Data!$D$14)-1/((1+(Data!$D32/Data!$D$14))/2))-SQRT(1/(Data!$D32/Data!$D$14)))))*Data!$G$14</f>
        <v>6.324395211663322</v>
      </c>
      <c r="J29" s="42">
        <f>(ABS((SQRT(2-1/((1+(Data!$D32/Data!$D$15))/2))-1)+ABS(SQRT(2/(Data!$D32/Data!$D$15)-1/((1+(Data!$D32/Data!$D$15))/2))-SQRT(1/(Data!$D32/Data!$D$15)))))*Data!$G$15</f>
        <v>5.756648142025341</v>
      </c>
      <c r="K29" s="42">
        <f>(ABS((SQRT(2-1/((1+(Data!$D32/Data!$D$16))/2))-1)+ABS(SQRT(2/(Data!$D32/Data!$D$16)-1/((1+(Data!$D32/Data!$D$16))/2))-SQRT(1/(Data!$D32/Data!$D$16)))))*Data!$G$16</f>
        <v>5.756648142025341</v>
      </c>
      <c r="L29" s="42">
        <f>(ABS((SQRT(2-1/((1+(Data!$D32/Data!$D$17))/2))-1)+ABS(SQRT(2/(Data!$D32/Data!$D$17)-1/((1+(Data!$D32/Data!$D$17))/2))-SQRT(1/(Data!$D32/Data!$D$17)))))*Data!$G$17</f>
        <v>5.756648142025341</v>
      </c>
      <c r="M29" s="42">
        <f>(ABS((SQRT(2-1/((1+(Data!$D32/Data!$D$18))/2))-1)+ABS(SQRT(2/(Data!$D32/Data!$D$18)-1/((1+(Data!$D32/Data!$D$18))/2))-SQRT(1/(Data!$D32/Data!$D$18)))))*Data!$G$18</f>
        <v>5.160026391887134</v>
      </c>
      <c r="N29" s="42">
        <f>(ABS((SQRT(2-1/((1+(Data!$D32/Data!$D$19))/2))-1)+ABS(SQRT(2/(Data!$D32/Data!$D$19)-1/((1+(Data!$D32/Data!$D$19))/2))-SQRT(1/(Data!$D32/Data!$D$19)))))*Data!$G$19</f>
        <v>5.160026391887134</v>
      </c>
      <c r="O29" s="42">
        <f>(ABS((SQRT(2-1/((1+(Data!$D32/Data!$D$20))/2))-1)+ABS(SQRT(2/(Data!$D32/Data!$D$20)-1/((1+(Data!$D32/Data!$D$20))/2))-SQRT(1/(Data!$D32/Data!$D$20)))))*Data!$G$20</f>
        <v>4.444758667222485</v>
      </c>
      <c r="P29" s="42">
        <f>(ABS((SQRT(2-1/((1+(Data!$D32/Data!$D$21))/2))-1)+ABS(SQRT(2/(Data!$D32/Data!$D$21)-1/((1+(Data!$D32/Data!$D$21))/2))-SQRT(1/(Data!$D32/Data!$D$21)))))*Data!$G$21</f>
        <v>2.987706296931699</v>
      </c>
      <c r="Q29" s="42">
        <f>(ABS((SQRT(2-1/((1+(Data!$D32/Data!$D$22))/2))-1)+ABS(SQRT(2/(Data!$D32/Data!$D$22)-1/((1+(Data!$D32/Data!$D$22))/2))-SQRT(1/(Data!$D32/Data!$D$22)))))*Data!$G$22</f>
        <v>2.7054498087334378</v>
      </c>
      <c r="R29" s="42">
        <f>(ABS((SQRT(2-1/((1+(Data!$D32/Data!$D$23))/2))-1)+ABS(SQRT(2/(Data!$D32/Data!$D$23)-1/((1+(Data!$D32/Data!$D$23))/2))-SQRT(1/(Data!$D32/Data!$D$23)))))*Data!$G$23</f>
        <v>1.575905826879899</v>
      </c>
      <c r="S29" s="42">
        <f>(ABS((SQRT(2-1/((1+(Data!$D32/Data!$D$24))/2))-1)+ABS(SQRT(2/(Data!$D32/Data!$D$24)-1/((1+(Data!$D32/Data!$D$24))/2))-SQRT(1/(Data!$D32/Data!$D$24)))))*Data!$G$24</f>
        <v>0.3791723038465861</v>
      </c>
      <c r="T29" s="42">
        <f>(ABS((SQRT(2-1/((1+(Data!$D32/Data!$D$25))/2))-1)+ABS(SQRT(2/(Data!$D32/Data!$D$25)-1/((1+(Data!$D32/Data!$D$25))/2))-SQRT(1/(Data!$D32/Data!$D$25)))))*Data!$G$25</f>
        <v>0.37378345186704676</v>
      </c>
      <c r="U29" s="42" t="e">
        <f>(ABS((SQRT(2-1/((1+(Data!$D32/Data!$D$26))/2))-1)+ABS(SQRT(2/(Data!$D32/Data!$D$26)-1/((1+(Data!$D32/Data!$D$26))/2))-SQRT(1/(Data!$D32/Data!$D$26)))))*Data!$G$26</f>
        <v>#NUM!</v>
      </c>
      <c r="V29" s="42">
        <f>(ABS((SQRT(2-1/((1+(Data!$D32/Data!$D$27))/2))-1)+ABS(SQRT(2/(Data!$D32/Data!$D$27)-1/((1+(Data!$D32/Data!$D$27))/2))-SQRT(1/(Data!$D32/Data!$D$27)))))*Data!$G$27</f>
        <v>0.13735714115107034</v>
      </c>
      <c r="W29" s="42" t="e">
        <f>(ABS((SQRT(2-1/((1+(Data!$D32/Data!$D$28))/2))-1)+ABS(SQRT(2/(Data!$D32/Data!$D$28)-1/((1+(Data!$D32/Data!$D$28))/2))-SQRT(1/(Data!$D32/Data!$D$28)))))*Data!$G$28</f>
        <v>#NUM!</v>
      </c>
      <c r="X29" s="42">
        <f>(ABS((SQRT(2-1/((1+(Data!$D32/Data!$D$29))/2))-1)+ABS(SQRT(2/(Data!$D32/Data!$D$29)-1/((1+(Data!$D32/Data!$D$29))/2))-SQRT(1/(Data!$D32/Data!$D$29)))))*Data!$G$29</f>
        <v>0.0791560215921842</v>
      </c>
      <c r="Y29" s="42">
        <f>(ABS((SQRT(2-1/((1+(Data!$D32/Data!$D$30))/2))-1)+ABS(SQRT(2/(Data!$D32/Data!$D$30)-1/((1+(Data!$D32/Data!$D$30))/2))-SQRT(1/(Data!$D32/Data!$D$30)))))*Data!$G$30</f>
        <v>0.025567168113141057</v>
      </c>
      <c r="Z29" s="42">
        <f>(ABS((SQRT(2-1/((1+(Data!$D32/Data!$D$31))/2))-1)+ABS(SQRT(2/(Data!$D32/Data!$D$31)-1/((1+(Data!$D32/Data!$D$31))/2))-SQRT(1/(Data!$D32/Data!$D$31)))))*Data!$G$31</f>
        <v>0.0031729571990377014</v>
      </c>
      <c r="AA29" s="40">
        <f>(SQRT(G*Data!$B32/Data!$C32))/1000</f>
        <v>0.0037008621357603145</v>
      </c>
      <c r="AB29" s="43" t="e">
        <f>AA30+orbit26+orbit27</f>
        <v>#NUM!</v>
      </c>
      <c r="AC29" s="43" t="e">
        <f>AA31+orbit26+orbit28</f>
        <v>#NUM!</v>
      </c>
      <c r="AD29" s="43" t="e">
        <f>AA32+orbit26+orbit29</f>
        <v>#NUM!</v>
      </c>
      <c r="AE29" s="43" t="e">
        <f>AA33+orbit26+orbit30</f>
        <v>#NUM!</v>
      </c>
      <c r="AF29" s="19" t="str">
        <f>Data!A32</f>
        <v>S/2000 S 4</v>
      </c>
    </row>
    <row r="30" spans="1:32" ht="12.75">
      <c r="A30" s="3" t="str">
        <f>Data!A33</f>
        <v>S/2000 S 9</v>
      </c>
      <c r="B30" s="44" t="e">
        <f>(ABS((SQRT(2-1/((1+(Data!$D33/Data!$D$7))/2))-1)+ABS(SQRT(2/(Data!$D33/Data!$D$7)-1/((1+(Data!$D33/Data!$D$7))/2))-SQRT(1/(Data!$D33/Data!$D$7)))))*Data!$G$7</f>
        <v>#NUM!</v>
      </c>
      <c r="C30" s="44" t="e">
        <f>(ABS((SQRT(2-1/((1+(Data!$D33/Data!$D$8))/2))-1)+ABS(SQRT(2/(Data!$D33/Data!$D$8)-1/((1+(Data!$D33/Data!$D$8))/2))-SQRT(1/(Data!$D33/Data!$D$8)))))*Data!$G$8</f>
        <v>#NUM!</v>
      </c>
      <c r="D30" s="44" t="e">
        <f>(ABS((SQRT(2-1/((1+(Data!$D33/Data!$D$9))/2))-1)+ABS(SQRT(2/(Data!$D33/Data!$D$9)-1/((1+(Data!$D33/Data!$D$9))/2))-SQRT(1/(Data!$D33/Data!$D$9)))))*Data!$G$9</f>
        <v>#NUM!</v>
      </c>
      <c r="E30" s="44" t="e">
        <f>(ABS((SQRT(2-1/((1+(Data!$D33/Data!$D$10))/2))-1)+ABS(SQRT(2/(Data!$D33/Data!$D$10)-1/((1+(Data!$D33/Data!$D$10))/2))-SQRT(1/(Data!$D33/Data!$D$10)))))*Data!$G$10</f>
        <v>#NUM!</v>
      </c>
      <c r="F30" s="44" t="e">
        <f>(ABS((SQRT(2-1/((1+(Data!$D33/Data!$D$11))/2))-1)+ABS(SQRT(2/(Data!$D33/Data!$D$11)-1/((1+(Data!$D33/Data!$D$11))/2))-SQRT(1/(Data!$D33/Data!$D$11)))))*Data!$G$11</f>
        <v>#NUM!</v>
      </c>
      <c r="G30" s="44" t="e">
        <f>(ABS((SQRT(2-1/((1+(Data!$D33/Data!$D$12))/2))-1)+ABS(SQRT(2/(Data!$D33/Data!$D$12)-1/((1+(Data!$D33/Data!$D$12))/2))-SQRT(1/(Data!$D33/Data!$D$12)))))*Data!$G$12</f>
        <v>#NUM!</v>
      </c>
      <c r="H30" s="44" t="e">
        <f>(ABS((SQRT(2-1/((1+(Data!$D33/Data!$D$13))/2))-1)+ABS(SQRT(2/(Data!$D33/Data!$D$13)-1/((1+(Data!$D33/Data!$D$13))/2))-SQRT(1/(Data!$D33/Data!$D$13)))))*Data!$G$13</f>
        <v>#NUM!</v>
      </c>
      <c r="I30" s="44" t="e">
        <f>(ABS((SQRT(2-1/((1+(Data!$D33/Data!$D$14))/2))-1)+ABS(SQRT(2/(Data!$D33/Data!$D$14)-1/((1+(Data!$D33/Data!$D$14))/2))-SQRT(1/(Data!$D33/Data!$D$14)))))*Data!$G$14</f>
        <v>#NUM!</v>
      </c>
      <c r="J30" s="44" t="e">
        <f>(ABS((SQRT(2-1/((1+(Data!$D33/Data!$D$15))/2))-1)+ABS(SQRT(2/(Data!$D33/Data!$D$15)-1/((1+(Data!$D33/Data!$D$15))/2))-SQRT(1/(Data!$D33/Data!$D$15)))))*Data!$G$15</f>
        <v>#NUM!</v>
      </c>
      <c r="K30" s="44" t="e">
        <f>(ABS((SQRT(2-1/((1+(Data!$D33/Data!$D$16))/2))-1)+ABS(SQRT(2/(Data!$D33/Data!$D$16)-1/((1+(Data!$D33/Data!$D$16))/2))-SQRT(1/(Data!$D33/Data!$D$16)))))*Data!$G$16</f>
        <v>#NUM!</v>
      </c>
      <c r="L30" s="44" t="e">
        <f>(ABS((SQRT(2-1/((1+(Data!$D33/Data!$D$17))/2))-1)+ABS(SQRT(2/(Data!$D33/Data!$D$17)-1/((1+(Data!$D33/Data!$D$17))/2))-SQRT(1/(Data!$D33/Data!$D$17)))))*Data!$G$17</f>
        <v>#NUM!</v>
      </c>
      <c r="M30" s="44" t="e">
        <f>(ABS((SQRT(2-1/((1+(Data!$D33/Data!$D$18))/2))-1)+ABS(SQRT(2/(Data!$D33/Data!$D$18)-1/((1+(Data!$D33/Data!$D$18))/2))-SQRT(1/(Data!$D33/Data!$D$18)))))*Data!$G$18</f>
        <v>#NUM!</v>
      </c>
      <c r="N30" s="44" t="e">
        <f>(ABS((SQRT(2-1/((1+(Data!$D33/Data!$D$19))/2))-1)+ABS(SQRT(2/(Data!$D33/Data!$D$19)-1/((1+(Data!$D33/Data!$D$19))/2))-SQRT(1/(Data!$D33/Data!$D$19)))))*Data!$G$19</f>
        <v>#NUM!</v>
      </c>
      <c r="O30" s="44" t="e">
        <f>(ABS((SQRT(2-1/((1+(Data!$D33/Data!$D$20))/2))-1)+ABS(SQRT(2/(Data!$D33/Data!$D$20)-1/((1+(Data!$D33/Data!$D$20))/2))-SQRT(1/(Data!$D33/Data!$D$20)))))*Data!$G$20</f>
        <v>#NUM!</v>
      </c>
      <c r="P30" s="44" t="e">
        <f>(ABS((SQRT(2-1/((1+(Data!$D33/Data!$D$21))/2))-1)+ABS(SQRT(2/(Data!$D33/Data!$D$21)-1/((1+(Data!$D33/Data!$D$21))/2))-SQRT(1/(Data!$D33/Data!$D$21)))))*Data!$G$21</f>
        <v>#NUM!</v>
      </c>
      <c r="Q30" s="44" t="e">
        <f>(ABS((SQRT(2-1/((1+(Data!$D33/Data!$D$22))/2))-1)+ABS(SQRT(2/(Data!$D33/Data!$D$22)-1/((1+(Data!$D33/Data!$D$22))/2))-SQRT(1/(Data!$D33/Data!$D$22)))))*Data!$G$22</f>
        <v>#NUM!</v>
      </c>
      <c r="R30" s="44" t="e">
        <f>(ABS((SQRT(2-1/((1+(Data!$D33/Data!$D$23))/2))-1)+ABS(SQRT(2/(Data!$D33/Data!$D$23)-1/((1+(Data!$D33/Data!$D$23))/2))-SQRT(1/(Data!$D33/Data!$D$23)))))*Data!$G$23</f>
        <v>#NUM!</v>
      </c>
      <c r="S30" s="44" t="e">
        <f>(ABS((SQRT(2-1/((1+(Data!$D33/Data!$D$24))/2))-1)+ABS(SQRT(2/(Data!$D33/Data!$D$24)-1/((1+(Data!$D33/Data!$D$24))/2))-SQRT(1/(Data!$D33/Data!$D$24)))))*Data!$G$24</f>
        <v>#NUM!</v>
      </c>
      <c r="T30" s="44" t="e">
        <f>(ABS((SQRT(2-1/((1+(Data!$D33/Data!$D$25))/2))-1)+ABS(SQRT(2/(Data!$D33/Data!$D$25)-1/((1+(Data!$D33/Data!$D$25))/2))-SQRT(1/(Data!$D33/Data!$D$25)))))*Data!$G$25</f>
        <v>#NUM!</v>
      </c>
      <c r="U30" s="44" t="e">
        <f>(ABS((SQRT(2-1/((1+(Data!$D33/Data!$D$26))/2))-1)+ABS(SQRT(2/(Data!$D33/Data!$D$26)-1/((1+(Data!$D33/Data!$D$26))/2))-SQRT(1/(Data!$D33/Data!$D$26)))))*Data!$G$26</f>
        <v>#NUM!</v>
      </c>
      <c r="V30" s="44" t="e">
        <f>(ABS((SQRT(2-1/((1+(Data!$D33/Data!$D$27))/2))-1)+ABS(SQRT(2/(Data!$D33/Data!$D$27)-1/((1+(Data!$D33/Data!$D$27))/2))-SQRT(1/(Data!$D33/Data!$D$27)))))*Data!$G$27</f>
        <v>#NUM!</v>
      </c>
      <c r="W30" s="44" t="e">
        <f>(ABS((SQRT(2-1/((1+(Data!$D33/Data!$D$28))/2))-1)+ABS(SQRT(2/(Data!$D33/Data!$D$28)-1/((1+(Data!$D33/Data!$D$28))/2))-SQRT(1/(Data!$D33/Data!$D$28)))))*Data!$G$28</f>
        <v>#NUM!</v>
      </c>
      <c r="X30" s="44" t="e">
        <f>(ABS((SQRT(2-1/((1+(Data!$D33/Data!$D$29))/2))-1)+ABS(SQRT(2/(Data!$D33/Data!$D$29)-1/((1+(Data!$D33/Data!$D$29))/2))-SQRT(1/(Data!$D33/Data!$D$29)))))*Data!$G$29</f>
        <v>#NUM!</v>
      </c>
      <c r="Y30" s="44" t="e">
        <f>(ABS((SQRT(2-1/((1+(Data!$D33/Data!$D$30))/2))-1)+ABS(SQRT(2/(Data!$D33/Data!$D$30)-1/((1+(Data!$D33/Data!$D$30))/2))-SQRT(1/(Data!$D33/Data!$D$30)))))*Data!$G$30</f>
        <v>#NUM!</v>
      </c>
      <c r="Z30" s="44" t="e">
        <f>(ABS((SQRT(2-1/((1+(Data!$D33/Data!$D$31))/2))-1)+ABS(SQRT(2/(Data!$D33/Data!$D$31)-1/((1+(Data!$D33/Data!$D$31))/2))-SQRT(1/(Data!$D33/Data!$D$31)))))*Data!$G$31</f>
        <v>#NUM!</v>
      </c>
      <c r="AA30" s="44" t="e">
        <f>(ABS((SQRT(2-1/((1+(Data!$D33/Data!$D$32))/2))-1)+ABS(SQRT(2/(Data!$D33/Data!$D$32)-1/((1+(Data!$D33/Data!$D$32))/2))-SQRT(1/(Data!$D33/Data!$D$32)))))*Data!$G$32</f>
        <v>#NUM!</v>
      </c>
      <c r="AB30" s="40">
        <f>(SQRT(G*Data!$B33/Data!$C33))/1000</f>
        <v>0.0015860837724687063</v>
      </c>
      <c r="AC30" s="41" t="e">
        <f>B31+orbit27+orbit28</f>
        <v>#NUM!</v>
      </c>
      <c r="AD30" s="41" t="e">
        <f>AB32+orbit27+orbit29</f>
        <v>#NUM!</v>
      </c>
      <c r="AE30" s="41" t="e">
        <f>AB33+orbit27+orbit30</f>
        <v>#NUM!</v>
      </c>
      <c r="AF30" s="19" t="str">
        <f>Data!A33</f>
        <v>S/2000 S 9</v>
      </c>
    </row>
    <row r="31" spans="1:32" ht="12.75">
      <c r="A31" s="3" t="str">
        <f>Data!A34</f>
        <v>S/2000 S 12</v>
      </c>
      <c r="B31" s="42" t="e">
        <f>(ABS((SQRT(2-1/((1+(Data!$D34/Data!$D$7))/2))-1)+ABS(SQRT(2/(Data!$D34/Data!$D$7)-1/((1+(Data!$D34/Data!$D$7))/2))-SQRT(1/(Data!$D34/Data!$D$7)))))*Data!$G$7</f>
        <v>#NUM!</v>
      </c>
      <c r="C31" s="42" t="e">
        <f>(ABS((SQRT(2-1/((1+(Data!$D34/Data!$D$8))/2))-1)+ABS(SQRT(2/(Data!$D34/Data!$D$8)-1/((1+(Data!$D34/Data!$D$8))/2))-SQRT(1/(Data!$D34/Data!$D$8)))))*Data!$G$8</f>
        <v>#NUM!</v>
      </c>
      <c r="D31" s="42" t="e">
        <f>(ABS((SQRT(2-1/((1+(Data!$D34/Data!$D$9))/2))-1)+ABS(SQRT(2/(Data!$D34/Data!$D$9)-1/((1+(Data!$D34/Data!$D$9))/2))-SQRT(1/(Data!$D34/Data!$D$9)))))*Data!$G$9</f>
        <v>#NUM!</v>
      </c>
      <c r="E31" s="42" t="e">
        <f>(ABS((SQRT(2-1/((1+(Data!$D34/Data!$D$10))/2))-1)+ABS(SQRT(2/(Data!$D34/Data!$D$10)-1/((1+(Data!$D34/Data!$D$10))/2))-SQRT(1/(Data!$D34/Data!$D$10)))))*Data!$G$10</f>
        <v>#NUM!</v>
      </c>
      <c r="F31" s="42" t="e">
        <f>(ABS((SQRT(2-1/((1+(Data!$D34/Data!$D$11))/2))-1)+ABS(SQRT(2/(Data!$D34/Data!$D$11)-1/((1+(Data!$D34/Data!$D$11))/2))-SQRT(1/(Data!$D34/Data!$D$11)))))*Data!$G$11</f>
        <v>#NUM!</v>
      </c>
      <c r="G31" s="42" t="e">
        <f>(ABS((SQRT(2-1/((1+(Data!$D34/Data!$D$12))/2))-1)+ABS(SQRT(2/(Data!$D34/Data!$D$12)-1/((1+(Data!$D34/Data!$D$12))/2))-SQRT(1/(Data!$D34/Data!$D$12)))))*Data!$G$12</f>
        <v>#NUM!</v>
      </c>
      <c r="H31" s="42" t="e">
        <f>(ABS((SQRT(2-1/((1+(Data!$D34/Data!$D$13))/2))-1)+ABS(SQRT(2/(Data!$D34/Data!$D$13)-1/((1+(Data!$D34/Data!$D$13))/2))-SQRT(1/(Data!$D34/Data!$D$13)))))*Data!$G$13</f>
        <v>#NUM!</v>
      </c>
      <c r="I31" s="42" t="e">
        <f>(ABS((SQRT(2-1/((1+(Data!$D34/Data!$D$14))/2))-1)+ABS(SQRT(2/(Data!$D34/Data!$D$14)-1/((1+(Data!$D34/Data!$D$14))/2))-SQRT(1/(Data!$D34/Data!$D$14)))))*Data!$G$14</f>
        <v>#NUM!</v>
      </c>
      <c r="J31" s="42" t="e">
        <f>(ABS((SQRT(2-1/((1+(Data!$D34/Data!$D$15))/2))-1)+ABS(SQRT(2/(Data!$D34/Data!$D$15)-1/((1+(Data!$D34/Data!$D$15))/2))-SQRT(1/(Data!$D34/Data!$D$15)))))*Data!$G$15</f>
        <v>#NUM!</v>
      </c>
      <c r="K31" s="42" t="e">
        <f>(ABS((SQRT(2-1/((1+(Data!$D34/Data!$D$16))/2))-1)+ABS(SQRT(2/(Data!$D34/Data!$D$16)-1/((1+(Data!$D34/Data!$D$16))/2))-SQRT(1/(Data!$D34/Data!$D$16)))))*Data!$G$16</f>
        <v>#NUM!</v>
      </c>
      <c r="L31" s="42" t="e">
        <f>(ABS((SQRT(2-1/((1+(Data!$D34/Data!$D$17))/2))-1)+ABS(SQRT(2/(Data!$D34/Data!$D$17)-1/((1+(Data!$D34/Data!$D$17))/2))-SQRT(1/(Data!$D34/Data!$D$17)))))*Data!$G$17</f>
        <v>#NUM!</v>
      </c>
      <c r="M31" s="42" t="e">
        <f>(ABS((SQRT(2-1/((1+(Data!$D34/Data!$D$18))/2))-1)+ABS(SQRT(2/(Data!$D34/Data!$D$18)-1/((1+(Data!$D34/Data!$D$18))/2))-SQRT(1/(Data!$D34/Data!$D$18)))))*Data!$G$18</f>
        <v>#NUM!</v>
      </c>
      <c r="N31" s="42" t="e">
        <f>(ABS((SQRT(2-1/((1+(Data!$D34/Data!$D$19))/2))-1)+ABS(SQRT(2/(Data!$D34/Data!$D$19)-1/((1+(Data!$D34/Data!$D$19))/2))-SQRT(1/(Data!$D34/Data!$D$19)))))*Data!$G$19</f>
        <v>#NUM!</v>
      </c>
      <c r="O31" s="42" t="e">
        <f>(ABS((SQRT(2-1/((1+(Data!$D34/Data!$D$20))/2))-1)+ABS(SQRT(2/(Data!$D34/Data!$D$20)-1/((1+(Data!$D34/Data!$D$20))/2))-SQRT(1/(Data!$D34/Data!$D$20)))))*Data!$G$20</f>
        <v>#NUM!</v>
      </c>
      <c r="P31" s="42" t="e">
        <f>(ABS((SQRT(2-1/((1+(Data!$D34/Data!$D$21))/2))-1)+ABS(SQRT(2/(Data!$D34/Data!$D$21)-1/((1+(Data!$D34/Data!$D$21))/2))-SQRT(1/(Data!$D34/Data!$D$21)))))*Data!$G$21</f>
        <v>#NUM!</v>
      </c>
      <c r="Q31" s="42" t="e">
        <f>(ABS((SQRT(2-1/((1+(Data!$D34/Data!$D$22))/2))-1)+ABS(SQRT(2/(Data!$D34/Data!$D$22)-1/((1+(Data!$D34/Data!$D$22))/2))-SQRT(1/(Data!$D34/Data!$D$22)))))*Data!$G$22</f>
        <v>#NUM!</v>
      </c>
      <c r="R31" s="42" t="e">
        <f>(ABS((SQRT(2-1/((1+(Data!$D34/Data!$D$23))/2))-1)+ABS(SQRT(2/(Data!$D34/Data!$D$23)-1/((1+(Data!$D34/Data!$D$23))/2))-SQRT(1/(Data!$D34/Data!$D$23)))))*Data!$G$23</f>
        <v>#NUM!</v>
      </c>
      <c r="S31" s="42" t="e">
        <f>(ABS((SQRT(2-1/((1+(Data!$D34/Data!$D$24))/2))-1)+ABS(SQRT(2/(Data!$D34/Data!$D$24)-1/((1+(Data!$D34/Data!$D$24))/2))-SQRT(1/(Data!$D34/Data!$D$24)))))*Data!$G$24</f>
        <v>#NUM!</v>
      </c>
      <c r="T31" s="42" t="e">
        <f>(ABS((SQRT(2-1/((1+(Data!$D34/Data!$D$25))/2))-1)+ABS(SQRT(2/(Data!$D34/Data!$D$25)-1/((1+(Data!$D34/Data!$D$25))/2))-SQRT(1/(Data!$D34/Data!$D$25)))))*Data!$G$25</f>
        <v>#NUM!</v>
      </c>
      <c r="U31" s="42" t="e">
        <f>(ABS((SQRT(2-1/((1+(Data!$D34/Data!$D$26))/2))-1)+ABS(SQRT(2/(Data!$D34/Data!$D$26)-1/((1+(Data!$D34/Data!$D$26))/2))-SQRT(1/(Data!$D34/Data!$D$26)))))*Data!$G$26</f>
        <v>#NUM!</v>
      </c>
      <c r="V31" s="42" t="e">
        <f>(ABS((SQRT(2-1/((1+(Data!$D34/Data!$D$27))/2))-1)+ABS(SQRT(2/(Data!$D34/Data!$D$27)-1/((1+(Data!$D34/Data!$D$27))/2))-SQRT(1/(Data!$D34/Data!$D$27)))))*Data!$G$27</f>
        <v>#NUM!</v>
      </c>
      <c r="W31" s="42" t="e">
        <f>(ABS((SQRT(2-1/((1+(Data!$D34/Data!$D$28))/2))-1)+ABS(SQRT(2/(Data!$D34/Data!$D$28)-1/((1+(Data!$D34/Data!$D$28))/2))-SQRT(1/(Data!$D34/Data!$D$28)))))*Data!$G$28</f>
        <v>#NUM!</v>
      </c>
      <c r="X31" s="42" t="e">
        <f>(ABS((SQRT(2-1/((1+(Data!$D34/Data!$D$29))/2))-1)+ABS(SQRT(2/(Data!$D34/Data!$D$29)-1/((1+(Data!$D34/Data!$D$29))/2))-SQRT(1/(Data!$D34/Data!$D$29)))))*Data!$G$29</f>
        <v>#NUM!</v>
      </c>
      <c r="Y31" s="42" t="e">
        <f>(ABS((SQRT(2-1/((1+(Data!$D34/Data!$D$30))/2))-1)+ABS(SQRT(2/(Data!$D34/Data!$D$30)-1/((1+(Data!$D34/Data!$D$30))/2))-SQRT(1/(Data!$D34/Data!$D$30)))))*Data!$G$30</f>
        <v>#NUM!</v>
      </c>
      <c r="Z31" s="42" t="e">
        <f>(ABS((SQRT(2-1/((1+(Data!$D34/Data!$D$31))/2))-1)+ABS(SQRT(2/(Data!$D34/Data!$D$31)-1/((1+(Data!$D34/Data!$D$31))/2))-SQRT(1/(Data!$D34/Data!$D$31)))))*Data!$G$31</f>
        <v>#NUM!</v>
      </c>
      <c r="AA31" s="42" t="e">
        <f>(ABS((SQRT(2-1/((1+(Data!$D34/Data!$D$32))/2))-1)+ABS(SQRT(2/(Data!$D34/Data!$D$32)-1/((1+(Data!$D34/Data!$D$32))/2))-SQRT(1/(Data!$D34/Data!$D$32)))))*Data!$G$32</f>
        <v>#NUM!</v>
      </c>
      <c r="AB31" s="42" t="e">
        <f>(ABS((SQRT(2-1/((1+(Data!$D34/Data!$D$33))/2))-1)+ABS(SQRT(2/(Data!$D34/Data!$D$33)-1/((1+(Data!$D34/Data!$D$33))/2))-SQRT(1/(Data!$D34/Data!$D$33)))))*Data!$G$33</f>
        <v>#NUM!</v>
      </c>
      <c r="AC31" s="40">
        <f>(SQRT(G*Data!$B34/Data!$C34))/1000</f>
        <v>0.0015860837724687063</v>
      </c>
      <c r="AD31" s="43" t="e">
        <f>AC32+orbit28+orbit29</f>
        <v>#NUM!</v>
      </c>
      <c r="AE31" s="43" t="e">
        <f>AC33+orbit28+orbit30</f>
        <v>#NUM!</v>
      </c>
      <c r="AF31" s="19" t="str">
        <f>Data!A34</f>
        <v>S/2000 S 12</v>
      </c>
    </row>
    <row r="32" spans="1:32" ht="12.75">
      <c r="A32" s="3" t="str">
        <f>Data!A35</f>
        <v>S/2000 S 7</v>
      </c>
      <c r="B32" s="44" t="e">
        <f>(ABS((SQRT(2-1/((1+(Data!$D35/Data!$D$7))/2))-1)+ABS(SQRT(2/(Data!$D35/Data!$D$7)-1/((1+(Data!$D35/Data!$D$7))/2))-SQRT(1/(Data!$D35/Data!$D$7)))))*Data!$G$7</f>
        <v>#NUM!</v>
      </c>
      <c r="C32" s="44" t="e">
        <f>(ABS((SQRT(2-1/((1+(Data!$D35/Data!$D$8))/2))-1)+ABS(SQRT(2/(Data!$D35/Data!$D$8)-1/((1+(Data!$D35/Data!$D$8))/2))-SQRT(1/(Data!$D35/Data!$D$8)))))*Data!$G$8</f>
        <v>#NUM!</v>
      </c>
      <c r="D32" s="44" t="e">
        <f>(ABS((SQRT(2-1/((1+(Data!$D35/Data!$D$9))/2))-1)+ABS(SQRT(2/(Data!$D35/Data!$D$9)-1/((1+(Data!$D35/Data!$D$9))/2))-SQRT(1/(Data!$D35/Data!$D$9)))))*Data!$G$9</f>
        <v>#NUM!</v>
      </c>
      <c r="E32" s="44" t="e">
        <f>(ABS((SQRT(2-1/((1+(Data!$D35/Data!$D$10))/2))-1)+ABS(SQRT(2/(Data!$D35/Data!$D$10)-1/((1+(Data!$D35/Data!$D$10))/2))-SQRT(1/(Data!$D35/Data!$D$10)))))*Data!$G$10</f>
        <v>#NUM!</v>
      </c>
      <c r="F32" s="44" t="e">
        <f>(ABS((SQRT(2-1/((1+(Data!$D35/Data!$D$11))/2))-1)+ABS(SQRT(2/(Data!$D35/Data!$D$11)-1/((1+(Data!$D35/Data!$D$11))/2))-SQRT(1/(Data!$D35/Data!$D$11)))))*Data!$G$11</f>
        <v>#NUM!</v>
      </c>
      <c r="G32" s="44" t="e">
        <f>(ABS((SQRT(2-1/((1+(Data!$D35/Data!$D$12))/2))-1)+ABS(SQRT(2/(Data!$D35/Data!$D$12)-1/((1+(Data!$D35/Data!$D$12))/2))-SQRT(1/(Data!$D35/Data!$D$12)))))*Data!$G$12</f>
        <v>#NUM!</v>
      </c>
      <c r="H32" s="44" t="e">
        <f>(ABS((SQRT(2-1/((1+(Data!$D35/Data!$D$13))/2))-1)+ABS(SQRT(2/(Data!$D35/Data!$D$13)-1/((1+(Data!$D35/Data!$D$13))/2))-SQRT(1/(Data!$D35/Data!$D$13)))))*Data!$G$13</f>
        <v>#NUM!</v>
      </c>
      <c r="I32" s="44" t="e">
        <f>(ABS((SQRT(2-1/((1+(Data!$D35/Data!$D$14))/2))-1)+ABS(SQRT(2/(Data!$D35/Data!$D$14)-1/((1+(Data!$D35/Data!$D$14))/2))-SQRT(1/(Data!$D35/Data!$D$14)))))*Data!$G$14</f>
        <v>#NUM!</v>
      </c>
      <c r="J32" s="44" t="e">
        <f>(ABS((SQRT(2-1/((1+(Data!$D35/Data!$D$15))/2))-1)+ABS(SQRT(2/(Data!$D35/Data!$D$15)-1/((1+(Data!$D35/Data!$D$15))/2))-SQRT(1/(Data!$D35/Data!$D$15)))))*Data!$G$15</f>
        <v>#NUM!</v>
      </c>
      <c r="K32" s="44" t="e">
        <f>(ABS((SQRT(2-1/((1+(Data!$D35/Data!$D$16))/2))-1)+ABS(SQRT(2/(Data!$D35/Data!$D$16)-1/((1+(Data!$D35/Data!$D$16))/2))-SQRT(1/(Data!$D35/Data!$D$16)))))*Data!$G$16</f>
        <v>#NUM!</v>
      </c>
      <c r="L32" s="44" t="e">
        <f>(ABS((SQRT(2-1/((1+(Data!$D35/Data!$D$17))/2))-1)+ABS(SQRT(2/(Data!$D35/Data!$D$17)-1/((1+(Data!$D35/Data!$D$17))/2))-SQRT(1/(Data!$D35/Data!$D$17)))))*Data!$G$17</f>
        <v>#NUM!</v>
      </c>
      <c r="M32" s="44" t="e">
        <f>(ABS((SQRT(2-1/((1+(Data!$D35/Data!$D$18))/2))-1)+ABS(SQRT(2/(Data!$D35/Data!$D$18)-1/((1+(Data!$D35/Data!$D$18))/2))-SQRT(1/(Data!$D35/Data!$D$18)))))*Data!$G$18</f>
        <v>#NUM!</v>
      </c>
      <c r="N32" s="44" t="e">
        <f>(ABS((SQRT(2-1/((1+(Data!$D35/Data!$D$19))/2))-1)+ABS(SQRT(2/(Data!$D35/Data!$D$19)-1/((1+(Data!$D35/Data!$D$19))/2))-SQRT(1/(Data!$D35/Data!$D$19)))))*Data!$G$19</f>
        <v>#NUM!</v>
      </c>
      <c r="O32" s="44" t="e">
        <f>(ABS((SQRT(2-1/((1+(Data!$D35/Data!$D$20))/2))-1)+ABS(SQRT(2/(Data!$D35/Data!$D$20)-1/((1+(Data!$D35/Data!$D$20))/2))-SQRT(1/(Data!$D35/Data!$D$20)))))*Data!$G$20</f>
        <v>#NUM!</v>
      </c>
      <c r="P32" s="44" t="e">
        <f>(ABS((SQRT(2-1/((1+(Data!$D35/Data!$D$21))/2))-1)+ABS(SQRT(2/(Data!$D35/Data!$D$21)-1/((1+(Data!$D35/Data!$D$21))/2))-SQRT(1/(Data!$D35/Data!$D$21)))))*Data!$G$21</f>
        <v>#NUM!</v>
      </c>
      <c r="Q32" s="44" t="e">
        <f>(ABS((SQRT(2-1/((1+(Data!$D35/Data!$D$22))/2))-1)+ABS(SQRT(2/(Data!$D35/Data!$D$22)-1/((1+(Data!$D35/Data!$D$22))/2))-SQRT(1/(Data!$D35/Data!$D$22)))))*Data!$G$22</f>
        <v>#NUM!</v>
      </c>
      <c r="R32" s="44" t="e">
        <f>(ABS((SQRT(2-1/((1+(Data!$D35/Data!$D$23))/2))-1)+ABS(SQRT(2/(Data!$D35/Data!$D$23)-1/((1+(Data!$D35/Data!$D$23))/2))-SQRT(1/(Data!$D35/Data!$D$23)))))*Data!$G$23</f>
        <v>#NUM!</v>
      </c>
      <c r="S32" s="44" t="e">
        <f>(ABS((SQRT(2-1/((1+(Data!$D35/Data!$D$24))/2))-1)+ABS(SQRT(2/(Data!$D35/Data!$D$24)-1/((1+(Data!$D35/Data!$D$24))/2))-SQRT(1/(Data!$D35/Data!$D$24)))))*Data!$G$24</f>
        <v>#NUM!</v>
      </c>
      <c r="T32" s="44" t="e">
        <f>(ABS((SQRT(2-1/((1+(Data!$D35/Data!$D$25))/2))-1)+ABS(SQRT(2/(Data!$D35/Data!$D$25)-1/((1+(Data!$D35/Data!$D$25))/2))-SQRT(1/(Data!$D35/Data!$D$25)))))*Data!$G$25</f>
        <v>#NUM!</v>
      </c>
      <c r="U32" s="44" t="e">
        <f>(ABS((SQRT(2-1/((1+(Data!$D35/Data!$D$26))/2))-1)+ABS(SQRT(2/(Data!$D35/Data!$D$26)-1/((1+(Data!$D35/Data!$D$26))/2))-SQRT(1/(Data!$D35/Data!$D$26)))))*Data!$G$26</f>
        <v>#NUM!</v>
      </c>
      <c r="V32" s="44" t="e">
        <f>(ABS((SQRT(2-1/((1+(Data!$D35/Data!$D$27))/2))-1)+ABS(SQRT(2/(Data!$D35/Data!$D$27)-1/((1+(Data!$D35/Data!$D$27))/2))-SQRT(1/(Data!$D35/Data!$D$27)))))*Data!$G$27</f>
        <v>#NUM!</v>
      </c>
      <c r="W32" s="44" t="e">
        <f>(ABS((SQRT(2-1/((1+(Data!$D35/Data!$D$28))/2))-1)+ABS(SQRT(2/(Data!$D35/Data!$D$28)-1/((1+(Data!$D35/Data!$D$28))/2))-SQRT(1/(Data!$D35/Data!$D$28)))))*Data!$G$28</f>
        <v>#NUM!</v>
      </c>
      <c r="X32" s="44" t="e">
        <f>(ABS((SQRT(2-1/((1+(Data!$D35/Data!$D$29))/2))-1)+ABS(SQRT(2/(Data!$D35/Data!$D$29)-1/((1+(Data!$D35/Data!$D$29))/2))-SQRT(1/(Data!$D35/Data!$D$29)))))*Data!$G$29</f>
        <v>#NUM!</v>
      </c>
      <c r="Y32" s="44" t="e">
        <f>(ABS((SQRT(2-1/((1+(Data!$D35/Data!$D$30))/2))-1)+ABS(SQRT(2/(Data!$D35/Data!$D$30)-1/((1+(Data!$D35/Data!$D$30))/2))-SQRT(1/(Data!$D35/Data!$D$30)))))*Data!$G$30</f>
        <v>#NUM!</v>
      </c>
      <c r="Z32" s="44" t="e">
        <f>(ABS((SQRT(2-1/((1+(Data!$D35/Data!$D$31))/2))-1)+ABS(SQRT(2/(Data!$D35/Data!$D$31)-1/((1+(Data!$D35/Data!$D$31))/2))-SQRT(1/(Data!$D35/Data!$D$31)))))*Data!$G$31</f>
        <v>#NUM!</v>
      </c>
      <c r="AA32" s="44" t="e">
        <f>(ABS((SQRT(2-1/((1+(Data!$D35/Data!$D$32))/2))-1)+ABS(SQRT(2/(Data!$D35/Data!$D$32)-1/((1+(Data!$D35/Data!$D$32))/2))-SQRT(1/(Data!$D35/Data!$D$32)))))*Data!$G$32</f>
        <v>#NUM!</v>
      </c>
      <c r="AB32" s="44" t="e">
        <f>(ABS((SQRT(2-1/((1+(Data!$D35/Data!$D$33))/2))-1)+ABS(SQRT(2/(Data!$D35/Data!$D$33)-1/((1+(Data!$D35/Data!$D$33))/2))-SQRT(1/(Data!$D35/Data!$D$33)))))*Data!$G$33</f>
        <v>#NUM!</v>
      </c>
      <c r="AC32" s="44" t="e">
        <f>(ABS((SQRT(2-1/((1+(Data!$D35/Data!$D$34))/2))-1)+ABS(SQRT(2/(Data!$D35/Data!$D$34)-1/((1+(Data!$D35/Data!$D$34))/2))-SQRT(1/(Data!$D35/Data!$D$34)))))*Data!$G$34</f>
        <v>#NUM!</v>
      </c>
      <c r="AD32" s="40">
        <f>(SQRT(G*Data!$B35/Data!$C35))/1000</f>
        <v>0.0015860837724687063</v>
      </c>
      <c r="AE32" s="41" t="e">
        <f>AD33+orbit29+orbit30</f>
        <v>#NUM!</v>
      </c>
      <c r="AF32" s="19" t="str">
        <f>Data!A35</f>
        <v>S/2000 S 7</v>
      </c>
    </row>
    <row r="33" spans="1:32" ht="12.75">
      <c r="A33" s="3" t="str">
        <f>Data!A36</f>
        <v>S/2000 S 1</v>
      </c>
      <c r="B33" s="42" t="e">
        <f>(ABS((SQRT(2-1/((1+(Data!$D36/Data!$D$7))/2))-1)+ABS(SQRT(2/(Data!$D36/Data!$D$7)-1/((1+(Data!$D36/Data!$D$7))/2))-SQRT(1/(Data!$D36/Data!$D$7)))))*Data!$G$7</f>
        <v>#NUM!</v>
      </c>
      <c r="C33" s="42" t="e">
        <f>(ABS((SQRT(2-1/((1+(Data!$D36/Data!$D$8))/2))-1)+ABS(SQRT(2/(Data!$D36/Data!$D$8)-1/((1+(Data!$D36/Data!$D$8))/2))-SQRT(1/(Data!$D36/Data!$D$8)))))*Data!$G$8</f>
        <v>#NUM!</v>
      </c>
      <c r="D33" s="42" t="e">
        <f>(ABS((SQRT(2-1/((1+(Data!$D36/Data!$D$9))/2))-1)+ABS(SQRT(2/(Data!$D36/Data!$D$9)-1/((1+(Data!$D36/Data!$D$9))/2))-SQRT(1/(Data!$D36/Data!$D$9)))))*Data!$G$9</f>
        <v>#NUM!</v>
      </c>
      <c r="E33" s="42" t="e">
        <f>(ABS((SQRT(2-1/((1+(Data!$D36/Data!$D$10))/2))-1)+ABS(SQRT(2/(Data!$D36/Data!$D$10)-1/((1+(Data!$D36/Data!$D$10))/2))-SQRT(1/(Data!$D36/Data!$D$10)))))*Data!$G$10</f>
        <v>#NUM!</v>
      </c>
      <c r="F33" s="42" t="e">
        <f>(ABS((SQRT(2-1/((1+(Data!$D36/Data!$D$11))/2))-1)+ABS(SQRT(2/(Data!$D36/Data!$D$11)-1/((1+(Data!$D36/Data!$D$11))/2))-SQRT(1/(Data!$D36/Data!$D$11)))))*Data!$G$11</f>
        <v>#NUM!</v>
      </c>
      <c r="G33" s="42" t="e">
        <f>(ABS((SQRT(2-1/((1+(Data!$D36/Data!$D$12))/2))-1)+ABS(SQRT(2/(Data!$D36/Data!$D$12)-1/((1+(Data!$D36/Data!$D$12))/2))-SQRT(1/(Data!$D36/Data!$D$12)))))*Data!$G$12</f>
        <v>#NUM!</v>
      </c>
      <c r="H33" s="42" t="e">
        <f>(ABS((SQRT(2-1/((1+(Data!$D36/Data!$D$13))/2))-1)+ABS(SQRT(2/(Data!$D36/Data!$D$13)-1/((1+(Data!$D36/Data!$D$13))/2))-SQRT(1/(Data!$D36/Data!$D$13)))))*Data!$G$13</f>
        <v>#NUM!</v>
      </c>
      <c r="I33" s="42" t="e">
        <f>(ABS((SQRT(2-1/((1+(Data!$D36/Data!$D$14))/2))-1)+ABS(SQRT(2/(Data!$D36/Data!$D$14)-1/((1+(Data!$D36/Data!$D$14))/2))-SQRT(1/(Data!$D36/Data!$D$14)))))*Data!$G$14</f>
        <v>#NUM!</v>
      </c>
      <c r="J33" s="42" t="e">
        <f>(ABS((SQRT(2-1/((1+(Data!$D36/Data!$D$15))/2))-1)+ABS(SQRT(2/(Data!$D36/Data!$D$15)-1/((1+(Data!$D36/Data!$D$15))/2))-SQRT(1/(Data!$D36/Data!$D$15)))))*Data!$G$15</f>
        <v>#NUM!</v>
      </c>
      <c r="K33" s="42" t="e">
        <f>(ABS((SQRT(2-1/((1+(Data!$D36/Data!$D$16))/2))-1)+ABS(SQRT(2/(Data!$D36/Data!$D$16)-1/((1+(Data!$D36/Data!$D$16))/2))-SQRT(1/(Data!$D36/Data!$D$16)))))*Data!$G$16</f>
        <v>#NUM!</v>
      </c>
      <c r="L33" s="42" t="e">
        <f>(ABS((SQRT(2-1/((1+(Data!$D36/Data!$D$17))/2))-1)+ABS(SQRT(2/(Data!$D36/Data!$D$17)-1/((1+(Data!$D36/Data!$D$17))/2))-SQRT(1/(Data!$D36/Data!$D$17)))))*Data!$G$17</f>
        <v>#NUM!</v>
      </c>
      <c r="M33" s="42" t="e">
        <f>(ABS((SQRT(2-1/((1+(Data!$D36/Data!$D$18))/2))-1)+ABS(SQRT(2/(Data!$D36/Data!$D$18)-1/((1+(Data!$D36/Data!$D$18))/2))-SQRT(1/(Data!$D36/Data!$D$18)))))*Data!$G$18</f>
        <v>#NUM!</v>
      </c>
      <c r="N33" s="42" t="e">
        <f>(ABS((SQRT(2-1/((1+(Data!$D36/Data!$D$19))/2))-1)+ABS(SQRT(2/(Data!$D36/Data!$D$19)-1/((1+(Data!$D36/Data!$D$19))/2))-SQRT(1/(Data!$D36/Data!$D$19)))))*Data!$G$19</f>
        <v>#NUM!</v>
      </c>
      <c r="O33" s="42" t="e">
        <f>(ABS((SQRT(2-1/((1+(Data!$D36/Data!$D$20))/2))-1)+ABS(SQRT(2/(Data!$D36/Data!$D$20)-1/((1+(Data!$D36/Data!$D$20))/2))-SQRT(1/(Data!$D36/Data!$D$20)))))*Data!$G$20</f>
        <v>#NUM!</v>
      </c>
      <c r="P33" s="42" t="e">
        <f>(ABS((SQRT(2-1/((1+(Data!$D36/Data!$D$21))/2))-1)+ABS(SQRT(2/(Data!$D36/Data!$D$21)-1/((1+(Data!$D36/Data!$D$21))/2))-SQRT(1/(Data!$D36/Data!$D$21)))))*Data!$G$21</f>
        <v>#NUM!</v>
      </c>
      <c r="Q33" s="42" t="e">
        <f>(ABS((SQRT(2-1/((1+(Data!$D36/Data!$D$22))/2))-1)+ABS(SQRT(2/(Data!$D36/Data!$D$22)-1/((1+(Data!$D36/Data!$D$22))/2))-SQRT(1/(Data!$D36/Data!$D$22)))))*Data!$G$22</f>
        <v>#NUM!</v>
      </c>
      <c r="R33" s="42" t="e">
        <f>(ABS((SQRT(2-1/((1+(Data!$D36/Data!$D$23))/2))-1)+ABS(SQRT(2/(Data!$D36/Data!$D$23)-1/((1+(Data!$D36/Data!$D$23))/2))-SQRT(1/(Data!$D36/Data!$D$23)))))*Data!$G$23</f>
        <v>#NUM!</v>
      </c>
      <c r="S33" s="42" t="e">
        <f>(ABS((SQRT(2-1/((1+(Data!$D36/Data!$D$24))/2))-1)+ABS(SQRT(2/(Data!$D36/Data!$D$24)-1/((1+(Data!$D36/Data!$D$24))/2))-SQRT(1/(Data!$D36/Data!$D$24)))))*Data!$G$24</f>
        <v>#NUM!</v>
      </c>
      <c r="T33" s="42" t="e">
        <f>(ABS((SQRT(2-1/((1+(Data!$D36/Data!$D$25))/2))-1)+ABS(SQRT(2/(Data!$D36/Data!$D$25)-1/((1+(Data!$D36/Data!$D$25))/2))-SQRT(1/(Data!$D36/Data!$D$25)))))*Data!$G$25</f>
        <v>#NUM!</v>
      </c>
      <c r="U33" s="42" t="e">
        <f>(ABS((SQRT(2-1/((1+(Data!$D36/Data!$D$26))/2))-1)+ABS(SQRT(2/(Data!$D36/Data!$D$26)-1/((1+(Data!$D36/Data!$D$26))/2))-SQRT(1/(Data!$D36/Data!$D$26)))))*Data!$G$26</f>
        <v>#NUM!</v>
      </c>
      <c r="V33" s="42" t="e">
        <f>(ABS((SQRT(2-1/((1+(Data!$D36/Data!$D$27))/2))-1)+ABS(SQRT(2/(Data!$D36/Data!$D$27)-1/((1+(Data!$D36/Data!$D$27))/2))-SQRT(1/(Data!$D36/Data!$D$27)))))*Data!$G$27</f>
        <v>#NUM!</v>
      </c>
      <c r="W33" s="42" t="e">
        <f>(ABS((SQRT(2-1/((1+(Data!$D36/Data!$D$28))/2))-1)+ABS(SQRT(2/(Data!$D36/Data!$D$28)-1/((1+(Data!$D36/Data!$D$28))/2))-SQRT(1/(Data!$D36/Data!$D$28)))))*Data!$G$28</f>
        <v>#NUM!</v>
      </c>
      <c r="X33" s="42" t="e">
        <f>(ABS((SQRT(2-1/((1+(Data!$D36/Data!$D$29))/2))-1)+ABS(SQRT(2/(Data!$D36/Data!$D$29)-1/((1+(Data!$D36/Data!$D$29))/2))-SQRT(1/(Data!$D36/Data!$D$29)))))*Data!$G$29</f>
        <v>#NUM!</v>
      </c>
      <c r="Y33" s="42" t="e">
        <f>(ABS((SQRT(2-1/((1+(Data!$D36/Data!$D$30))/2))-1)+ABS(SQRT(2/(Data!$D36/Data!$D$30)-1/((1+(Data!$D36/Data!$D$30))/2))-SQRT(1/(Data!$D36/Data!$D$30)))))*Data!$G$30</f>
        <v>#NUM!</v>
      </c>
      <c r="Z33" s="42" t="e">
        <f>(ABS((SQRT(2-1/((1+(Data!$D36/Data!$D$31))/2))-1)+ABS(SQRT(2/(Data!$D36/Data!$D$31)-1/((1+(Data!$D36/Data!$D$31))/2))-SQRT(1/(Data!$D36/Data!$D$31)))))*Data!$G$31</f>
        <v>#NUM!</v>
      </c>
      <c r="AA33" s="42" t="e">
        <f>(ABS((SQRT(2-1/((1+(Data!$D36/Data!$D$32))/2))-1)+ABS(SQRT(2/(Data!$D36/Data!$D$32)-1/((1+(Data!$D36/Data!$D$32))/2))-SQRT(1/(Data!$D36/Data!$D$32)))))*Data!$G$32</f>
        <v>#NUM!</v>
      </c>
      <c r="AB33" s="42" t="e">
        <f>(ABS((SQRT(2-1/((1+(Data!$D36/Data!$D$33))/2))-1)+ABS(SQRT(2/(Data!$D36/Data!$D$33)-1/((1+(Data!$D36/Data!$D$33))/2))-SQRT(1/(Data!$D36/Data!$D$33)))))*Data!$G$33</f>
        <v>#NUM!</v>
      </c>
      <c r="AC33" s="42" t="e">
        <f>(ABS((SQRT(2-1/((1+(Data!$D36/Data!$D$34))/2))-1)+ABS(SQRT(2/(Data!$D36/Data!$D$34)-1/((1+(Data!$D36/Data!$D$34))/2))-SQRT(1/(Data!$D36/Data!$D$34)))))*Data!$G$34</f>
        <v>#NUM!</v>
      </c>
      <c r="AD33" s="42" t="e">
        <f>(ABS((SQRT(2-1/((1+(Data!$D36/Data!$D$35))/2))-1)+ABS(SQRT(2/(Data!$D36/Data!$D$35)-1/((1+(Data!$D36/Data!$D$35))/2))-SQRT(1/(Data!$D36/Data!$D$35)))))*Data!$G$35</f>
        <v>#NUM!</v>
      </c>
      <c r="AE33" s="40">
        <f>(SQRT(G*Data!$B36/Data!$C36))/1000</f>
        <v>0.004229556726583216</v>
      </c>
      <c r="AF33" s="19" t="str">
        <f>Data!A36</f>
        <v>S/2000 S 1</v>
      </c>
    </row>
    <row r="34" spans="2:31" ht="12.75">
      <c r="B34" s="3" t="str">
        <f>Data!A7</f>
        <v>Pan (SXVIII)</v>
      </c>
      <c r="C34" s="3" t="str">
        <f>Data!A8</f>
        <v>Atlas (SXV)</v>
      </c>
      <c r="D34" s="3" t="str">
        <f>Data!A9</f>
        <v>Prometheus (SXVI)</v>
      </c>
      <c r="E34" s="3" t="str">
        <f>Data!A10</f>
        <v>Pandora (SXVII)</v>
      </c>
      <c r="F34" s="3" t="str">
        <f>Data!A11</f>
        <v>Epimetheus (SXI)</v>
      </c>
      <c r="G34" s="3" t="str">
        <f>Data!A12</f>
        <v>Janus (SX)</v>
      </c>
      <c r="H34" s="3" t="str">
        <f>Data!A13</f>
        <v>Mimas (SI)</v>
      </c>
      <c r="I34" s="3" t="str">
        <f>Data!A14</f>
        <v>Enceladus (SII)</v>
      </c>
      <c r="J34" s="3" t="str">
        <f>Data!A15</f>
        <v>Calypso (SXIV)</v>
      </c>
      <c r="K34" s="3" t="str">
        <f>Data!A16</f>
        <v>Tethys (SIII)</v>
      </c>
      <c r="L34" s="3" t="str">
        <f>Data!A17</f>
        <v>Telesto (SXIII)</v>
      </c>
      <c r="M34" s="3" t="str">
        <f>Data!A18</f>
        <v>Dione (SIV)</v>
      </c>
      <c r="N34" s="3" t="str">
        <f>Data!A19</f>
        <v>Helene (SXII)</v>
      </c>
      <c r="O34" s="3" t="str">
        <f>Data!A20</f>
        <v>Rhea (SV)</v>
      </c>
      <c r="P34" s="3" t="str">
        <f>Data!A21</f>
        <v>Titan (SVI)</v>
      </c>
      <c r="Q34" s="3" t="str">
        <f>Data!A22</f>
        <v>Hyperion (SVII)</v>
      </c>
      <c r="R34" s="3" t="str">
        <f>Data!A23</f>
        <v>Iapetus (SVIII)</v>
      </c>
      <c r="S34" s="3" t="str">
        <f>Data!A24</f>
        <v>S/2000 S 5</v>
      </c>
      <c r="T34" s="3" t="str">
        <f>Data!A25</f>
        <v>S/2000 S 6</v>
      </c>
      <c r="U34" s="3" t="str">
        <f>Data!A26</f>
        <v>Phoebe (S IX)</v>
      </c>
      <c r="V34" s="3" t="str">
        <f>Data!A27</f>
        <v>S/2000 S 2</v>
      </c>
      <c r="W34" s="3" t="str">
        <f>Data!A28</f>
        <v>S/2000 S 8</v>
      </c>
      <c r="X34" s="3" t="str">
        <f>Data!A29</f>
        <v>S/2000 S 11</v>
      </c>
      <c r="Y34" s="3" t="str">
        <f>Data!A30</f>
        <v>S/2000 S 10</v>
      </c>
      <c r="Z34" s="3" t="str">
        <f>Data!A31</f>
        <v>S/2000 S 3</v>
      </c>
      <c r="AA34" s="3" t="str">
        <f>Data!A32</f>
        <v>S/2000 S 4</v>
      </c>
      <c r="AB34" s="3" t="str">
        <f>Data!A33</f>
        <v>S/2000 S 9</v>
      </c>
      <c r="AC34" s="3" t="str">
        <f>Data!A34</f>
        <v>S/2000 S 12</v>
      </c>
      <c r="AD34" s="3" t="str">
        <f>Data!A35</f>
        <v>S/2000 S 7</v>
      </c>
      <c r="AE34" s="3" t="str">
        <f>Data!A36</f>
        <v>S/2000 S 1</v>
      </c>
    </row>
    <row r="36" ht="12.75">
      <c r="B36" t="s">
        <v>18</v>
      </c>
    </row>
    <row r="37" ht="12.75">
      <c r="B37" s="46" t="s">
        <v>16</v>
      </c>
    </row>
    <row r="38" ht="12.75">
      <c r="B38" s="47" t="s">
        <v>17</v>
      </c>
    </row>
    <row r="39" ht="12.75">
      <c r="B39" s="48" t="s">
        <v>24</v>
      </c>
    </row>
    <row r="40" ht="12.75">
      <c r="B40" s="39" t="s">
        <v>64</v>
      </c>
    </row>
    <row r="41" ht="12.75">
      <c r="B41" s="39" t="s">
        <v>65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tabSelected="1" workbookViewId="0" topLeftCell="A1">
      <selection activeCell="X4" sqref="X4"/>
    </sheetView>
  </sheetViews>
  <sheetFormatPr defaultColWidth="9.140625" defaultRowHeight="12.75"/>
  <cols>
    <col min="1" max="1" width="12.421875" style="0" customWidth="1"/>
    <col min="2" max="2" width="10.00390625" style="0" bestFit="1" customWidth="1"/>
    <col min="6" max="6" width="10.421875" style="0" customWidth="1"/>
    <col min="9" max="9" width="11.140625" style="0" customWidth="1"/>
    <col min="27" max="27" width="10.140625" style="0" customWidth="1"/>
  </cols>
  <sheetData>
    <row r="1" ht="15.75">
      <c r="B1" s="8" t="s">
        <v>11</v>
      </c>
    </row>
    <row r="3" spans="2:31" ht="12.75">
      <c r="B3" s="3" t="str">
        <f>Data!A7</f>
        <v>Pan (SXVIII)</v>
      </c>
      <c r="C3" s="3" t="str">
        <f>Data!A8</f>
        <v>Atlas (SXV)</v>
      </c>
      <c r="D3" s="3" t="str">
        <f>Data!A9</f>
        <v>Prometheus (SXVI)</v>
      </c>
      <c r="E3" s="3" t="str">
        <f>Data!A10</f>
        <v>Pandora (SXVII)</v>
      </c>
      <c r="F3" s="3" t="str">
        <f>Data!A11</f>
        <v>Epimetheus (SXI)</v>
      </c>
      <c r="G3" s="3" t="str">
        <f>Data!A12</f>
        <v>Janus (SX)</v>
      </c>
      <c r="H3" s="3" t="str">
        <f>Data!A13</f>
        <v>Mimas (SI)</v>
      </c>
      <c r="I3" s="3" t="str">
        <f>Data!A14</f>
        <v>Enceladus (SII)</v>
      </c>
      <c r="J3" s="3" t="str">
        <f>Data!A15</f>
        <v>Calypso (SXIV)</v>
      </c>
      <c r="K3" s="3" t="str">
        <f>Data!A16</f>
        <v>Tethys (SIII)</v>
      </c>
      <c r="L3" s="3" t="str">
        <f>Data!A17</f>
        <v>Telesto (SXIII)</v>
      </c>
      <c r="M3" s="3" t="str">
        <f>Data!A18</f>
        <v>Dione (SIV)</v>
      </c>
      <c r="N3" s="3" t="str">
        <f>Data!A19</f>
        <v>Helene (SXII)</v>
      </c>
      <c r="O3" s="3" t="str">
        <f>Data!A20</f>
        <v>Rhea (SV)</v>
      </c>
      <c r="P3" s="3" t="str">
        <f>Data!A21</f>
        <v>Titan (SVI)</v>
      </c>
      <c r="Q3" s="3" t="str">
        <f>Data!A22</f>
        <v>Hyperion (SVII)</v>
      </c>
      <c r="R3" s="3" t="str">
        <f>Data!A23</f>
        <v>Iapetus (SVIII)</v>
      </c>
      <c r="S3" s="3" t="str">
        <f>Data!A24</f>
        <v>S/2000 S 5</v>
      </c>
      <c r="T3" s="3" t="str">
        <f>Data!A25</f>
        <v>S/2000 S 6</v>
      </c>
      <c r="U3" s="3" t="str">
        <f>Data!A26</f>
        <v>Phoebe (S IX)</v>
      </c>
      <c r="V3" s="3" t="str">
        <f>Data!A27</f>
        <v>S/2000 S 2</v>
      </c>
      <c r="W3" s="3" t="str">
        <f>Data!A28</f>
        <v>S/2000 S 8</v>
      </c>
      <c r="X3" s="3" t="str">
        <f>Data!A29</f>
        <v>S/2000 S 11</v>
      </c>
      <c r="Y3" s="3" t="str">
        <f>Data!A30</f>
        <v>S/2000 S 10</v>
      </c>
      <c r="Z3" s="3" t="str">
        <f>Data!A31</f>
        <v>S/2000 S 3</v>
      </c>
      <c r="AA3" s="3" t="str">
        <f>Data!A32</f>
        <v>S/2000 S 4</v>
      </c>
      <c r="AB3" s="3" t="str">
        <f>Data!A33</f>
        <v>S/2000 S 9</v>
      </c>
      <c r="AC3" s="3" t="str">
        <f>Data!A34</f>
        <v>S/2000 S 12</v>
      </c>
      <c r="AD3" s="3" t="str">
        <f>Data!A35</f>
        <v>S/2000 S 7</v>
      </c>
      <c r="AE3" s="3" t="str">
        <f>Data!A36</f>
        <v>S/2000 S 1</v>
      </c>
    </row>
    <row r="4" spans="1:32" ht="12.75">
      <c r="A4" s="22" t="str">
        <f>Data!A7</f>
        <v>Pan (SXVIII)</v>
      </c>
      <c r="B4" s="30"/>
      <c r="C4" s="26">
        <f>1/((1/Data!E7)-(1/Data!$E$8))/Time_scale</f>
        <v>13.04299416091205</v>
      </c>
      <c r="D4" s="26">
        <f>1/((1/Data!E7)-(1/Data!$E$9))/Time_scale</f>
        <v>9.379560378803015</v>
      </c>
      <c r="E4" s="26">
        <f>1/((1/Data!E7)-(1/Data!$E$10))/Time_scale</f>
        <v>6.807558851834769</v>
      </c>
      <c r="F4" s="26">
        <f>1/((1/Data!E7)-(1/Data!$E$11))/Time_scale</f>
        <v>3.3632860792917696</v>
      </c>
      <c r="G4" s="26">
        <f>1/((1/Data!E7)-(1/Data!$E$12))/Time_scale</f>
        <v>3.355255564240431</v>
      </c>
      <c r="H4" s="26">
        <f>1/((1/Data!E7)-(1/Data!$E$13))/Time_scale</f>
        <v>1.4819446095813682</v>
      </c>
      <c r="I4" s="26">
        <f>1/((1/Data!E7)-(1/Data!$E$14))/Time_scale</f>
        <v>0.9946856868966282</v>
      </c>
      <c r="J4" s="26">
        <f>1/((1/Data!E7)-(1/Data!$E$15))/Time_scale</f>
        <v>0.8297536237475804</v>
      </c>
      <c r="K4" s="26">
        <f>1/((1/Data!E7)-(1/Data!$E$16))/Time_scale</f>
        <v>0.8297536237475804</v>
      </c>
      <c r="L4" s="26">
        <f>1/((1/Data!E7)-(1/Data!$E$17))/Time_scale</f>
        <v>0.8297536237475804</v>
      </c>
      <c r="M4" s="26">
        <f>1/((1/Data!E7)-(1/Data!$E$18))/Time_scale</f>
        <v>0.7302576112800594</v>
      </c>
      <c r="N4" s="26">
        <f>1/((1/Data!E7)-(1/Data!$E$19))/Time_scale</f>
        <v>0.7302576112800594</v>
      </c>
      <c r="O4" s="26">
        <f>1/((1/Data!E7)-(1/Data!$E$20))/Time_scale</f>
        <v>0.6607973797040705</v>
      </c>
      <c r="P4" s="26">
        <f>1/((1/Data!E7)-(1/Data!$E$21))/Time_scale</f>
        <v>0.5980989389489856</v>
      </c>
      <c r="Q4" s="26">
        <f>1/((1/Data!E7)-(1/Data!$E$22))/Time_scale</f>
        <v>0.5925269290706993</v>
      </c>
      <c r="R4" s="26">
        <f>1/((1/Data!E7)-(1/Data!$E$23))/Time_scale</f>
        <v>0.5806960938930487</v>
      </c>
      <c r="S4" s="26">
        <f>1/((1/Data!E7)-(1/Data!$E$24))/Time_scale</f>
        <v>0.5772126057536369</v>
      </c>
      <c r="T4" s="26">
        <f>1/((1/Data!E7)-(1/Data!$E$25))/Time_scale</f>
        <v>0.5772058609708022</v>
      </c>
      <c r="U4" s="26" t="e">
        <f>1/((1/Data!E7)-(1/Data!$E$26))/Time_scale</f>
        <v>#NUM!</v>
      </c>
      <c r="V4" s="26">
        <f>1/((1/Data!E7)-(1/Data!$E$27))/Time_scale</f>
        <v>0.5769528844099386</v>
      </c>
      <c r="W4" s="26" t="e">
        <f>1/((1/Data!E7)-(1/Data!$E$28))/Time_scale</f>
        <v>#NUM!</v>
      </c>
      <c r="X4" s="26">
        <f>1/((1/Data!E7)-(1/Data!$E$29))/Time_scale</f>
        <v>0.5769020303833744</v>
      </c>
      <c r="Y4" s="26">
        <f>1/((1/Data!E7)-(1/Data!$E$30))/Time_scale</f>
        <v>0.5768586632555984</v>
      </c>
      <c r="Z4" s="26">
        <f>1/((1/Data!E7)-(1/Data!$E$31))/Time_scale</f>
        <v>0.5768414702569743</v>
      </c>
      <c r="AA4" s="26">
        <f>1/((1/Data!E7)-(1/Data!$E$32))/Time_scale</f>
        <v>0.5768390771540595</v>
      </c>
      <c r="AB4" s="26" t="e">
        <f>1/((1/Data!E7)-(1/Data!$E$33))/Time_scale</f>
        <v>#NUM!</v>
      </c>
      <c r="AC4" s="26" t="e">
        <f>1/((1/Data!E7)-(1/Data!$E$34))/Time_scale</f>
        <v>#NUM!</v>
      </c>
      <c r="AD4" s="26" t="e">
        <f>1/((1/Data!E7)-(1/Data!$E$35))/Time_scale</f>
        <v>#NUM!</v>
      </c>
      <c r="AE4" s="26" t="e">
        <f>1/((1/Data!E7)-(1/Data!$E$36))/Time_scale</f>
        <v>#NUM!</v>
      </c>
      <c r="AF4" s="20" t="str">
        <f>Data!A7</f>
        <v>Pan (SXVIII)</v>
      </c>
    </row>
    <row r="5" spans="1:32" ht="12.75">
      <c r="A5" s="3" t="str">
        <f>Data!A8</f>
        <v>Atlas (SXV)</v>
      </c>
      <c r="B5" s="27">
        <f>(PI()*SQRT(((1+(Data!$D8/Data!$D$7))/2)^3))*Data!$H$7/Time_scale</f>
        <v>0.29487804872528206</v>
      </c>
      <c r="C5" s="30"/>
      <c r="D5" s="28">
        <f>1/((1/Data!E8)-(1/Data!$E$9))/Time_scale</f>
        <v>33.394230257444484</v>
      </c>
      <c r="E5" s="28">
        <f>1/((1/Data!E8)-(1/Data!$E$10))/Time_scale</f>
        <v>14.239735632456641</v>
      </c>
      <c r="F5" s="28">
        <f>1/((1/Data!E8)-(1/Data!$E$11))/Time_scale</f>
        <v>4.531884672945262</v>
      </c>
      <c r="G5" s="28">
        <f>1/((1/Data!E8)-(1/Data!$E$12))/Time_scale</f>
        <v>4.517316223601549</v>
      </c>
      <c r="H5" s="28">
        <f>1/((1/Data!E8)-(1/Data!$E$13))/Time_scale</f>
        <v>1.6719065863133593</v>
      </c>
      <c r="I5" s="28">
        <f>1/((1/Data!E8)-(1/Data!$E$14))/Time_scale</f>
        <v>1.0768050663805497</v>
      </c>
      <c r="J5" s="28">
        <f>1/((1/Data!E8)-(1/Data!$E$15))/Time_scale</f>
        <v>0.8861261379895776</v>
      </c>
      <c r="K5" s="28">
        <f>1/((1/Data!E8)-(1/Data!$E$16))/Time_scale</f>
        <v>0.8861261379895776</v>
      </c>
      <c r="L5" s="28">
        <f>1/((1/Data!E8)-(1/Data!$E$17))/Time_scale</f>
        <v>0.8861261379895776</v>
      </c>
      <c r="M5" s="28">
        <f>1/((1/Data!E8)-(1/Data!$E$18))/Time_scale</f>
        <v>0.7735685500533248</v>
      </c>
      <c r="N5" s="28">
        <f>1/((1/Data!E8)-(1/Data!$E$19))/Time_scale</f>
        <v>0.7735685500533248</v>
      </c>
      <c r="O5" s="28">
        <f>1/((1/Data!E8)-(1/Data!$E$20))/Time_scale</f>
        <v>0.6960619765069946</v>
      </c>
      <c r="P5" s="28">
        <f>1/((1/Data!E8)-(1/Data!$E$21))/Time_scale</f>
        <v>0.6268434429718547</v>
      </c>
      <c r="Q5" s="28">
        <f>1/((1/Data!E8)-(1/Data!$E$22))/Time_scale</f>
        <v>0.6207257231509781</v>
      </c>
      <c r="R5" s="28">
        <f>1/((1/Data!E8)-(1/Data!$E$23))/Time_scale</f>
        <v>0.6077543420306897</v>
      </c>
      <c r="S5" s="28">
        <f>1/((1/Data!E8)-(1/Data!$E$24))/Time_scale</f>
        <v>0.6039397219610466</v>
      </c>
      <c r="T5" s="28">
        <f>1/((1/Data!E8)-(1/Data!$E$25))/Time_scale</f>
        <v>0.6039323381034689</v>
      </c>
      <c r="U5" s="28" t="e">
        <f>1/((1/Data!E8)-(1/Data!$E$26))/Time_scale</f>
        <v>#NUM!</v>
      </c>
      <c r="V5" s="28">
        <f>1/((1/Data!E8)-(1/Data!$E$27))/Time_scale</f>
        <v>0.6036553975370531</v>
      </c>
      <c r="W5" s="28" t="e">
        <f>1/((1/Data!E8)-(1/Data!$E$28))/Time_scale</f>
        <v>#NUM!</v>
      </c>
      <c r="X5" s="28">
        <f>1/((1/Data!E8)-(1/Data!$E$29))/Time_scale</f>
        <v>0.6035997275586916</v>
      </c>
      <c r="Y5" s="28">
        <f>1/((1/Data!E8)-(1/Data!$E$30))/Time_scale</f>
        <v>0.6035522538583633</v>
      </c>
      <c r="Z5" s="28">
        <f>1/((1/Data!E8)-(1/Data!$E$31))/Time_scale</f>
        <v>0.6035334328909362</v>
      </c>
      <c r="AA5" s="28">
        <f>1/((1/Data!E8)-(1/Data!$E$32))/Time_scale</f>
        <v>0.6035308131942659</v>
      </c>
      <c r="AB5" s="28" t="e">
        <f>1/((1/Data!E8)-(1/Data!$E$33))/Time_scale</f>
        <v>#NUM!</v>
      </c>
      <c r="AC5" s="28" t="e">
        <f>1/((1/Data!E8)-(1/Data!$E$34))/Time_scale</f>
        <v>#NUM!</v>
      </c>
      <c r="AD5" s="28" t="e">
        <f>1/((1/Data!E8)-(1/Data!$E$35))/Time_scale</f>
        <v>#NUM!</v>
      </c>
      <c r="AE5" s="28" t="e">
        <f>1/((1/Data!E8)-(1/Data!$E$36))/Time_scale</f>
        <v>#NUM!</v>
      </c>
      <c r="AF5" s="19" t="str">
        <f>Data!A8</f>
        <v>Atlas (SXV)</v>
      </c>
    </row>
    <row r="6" spans="1:32" ht="12.75">
      <c r="A6" s="22" t="str">
        <f>Data!A9</f>
        <v>Prometheus (SXVI)</v>
      </c>
      <c r="B6" s="29">
        <f>(PI()*SQRT(((1+(Data!$D9/Data!$D$7))/2)^3))*Data!$H$7/Time_scale</f>
        <v>0.2976266750557042</v>
      </c>
      <c r="C6" s="29">
        <f>(PI()*SQRT(((1+(Data!$D9/Data!$D$8))/2)^3))*Data!$H$8/Time_scale</f>
        <v>0.3043367238037097</v>
      </c>
      <c r="D6" s="30"/>
      <c r="E6" s="26">
        <f>1/((1/Data!E9)-(1/Data!$E$10))/Time_scale</f>
        <v>24.825766475459584</v>
      </c>
      <c r="F6" s="26">
        <f>1/((1/Data!E9)-(1/Data!$E$11))/Time_scale</f>
        <v>5.243468512475833</v>
      </c>
      <c r="G6" s="26">
        <f>1/((1/Data!E9)-(1/Data!$E$12))/Time_scale</f>
        <v>5.223975731611939</v>
      </c>
      <c r="H6" s="26">
        <f>1/((1/Data!E9)-(1/Data!$E$13))/Time_scale</f>
        <v>1.7600234488211906</v>
      </c>
      <c r="I6" s="26">
        <f>1/((1/Data!E9)-(1/Data!$E$14))/Time_scale</f>
        <v>1.1126838266508274</v>
      </c>
      <c r="J6" s="26">
        <f>1/((1/Data!E9)-(1/Data!$E$15))/Time_scale</f>
        <v>0.9102807158616967</v>
      </c>
      <c r="K6" s="26">
        <f>1/((1/Data!E9)-(1/Data!$E$16))/Time_scale</f>
        <v>0.9102807158616967</v>
      </c>
      <c r="L6" s="26">
        <f>1/((1/Data!E9)-(1/Data!$E$17))/Time_scale</f>
        <v>0.9102807158616967</v>
      </c>
      <c r="M6" s="26">
        <f>1/((1/Data!E9)-(1/Data!$E$18))/Time_scale</f>
        <v>0.7919130063062162</v>
      </c>
      <c r="N6" s="26">
        <f>1/((1/Data!E9)-(1/Data!$E$19))/Time_scale</f>
        <v>0.7919130063062162</v>
      </c>
      <c r="O6" s="26">
        <f>1/((1/Data!E9)-(1/Data!$E$20))/Time_scale</f>
        <v>0.7108793898549246</v>
      </c>
      <c r="P6" s="26">
        <f>1/((1/Data!E9)-(1/Data!$E$21))/Time_scale</f>
        <v>0.6388350218005716</v>
      </c>
      <c r="Q6" s="26">
        <f>1/((1/Data!E9)-(1/Data!$E$22))/Time_scale</f>
        <v>0.632482184013384</v>
      </c>
      <c r="R6" s="26">
        <f>1/((1/Data!E9)-(1/Data!$E$23))/Time_scale</f>
        <v>0.6190201255571073</v>
      </c>
      <c r="S6" s="26">
        <f>1/((1/Data!E9)-(1/Data!$E$24))/Time_scale</f>
        <v>0.6150632338850317</v>
      </c>
      <c r="T6" s="26">
        <f>1/((1/Data!E9)-(1/Data!$E$25))/Time_scale</f>
        <v>0.6150555755288901</v>
      </c>
      <c r="U6" s="26" t="e">
        <f>1/((1/Data!E9)-(1/Data!$E$26))/Time_scale</f>
        <v>#NUM!</v>
      </c>
      <c r="V6" s="26">
        <f>1/((1/Data!E9)-(1/Data!$E$27))/Time_scale</f>
        <v>0.6147683420502998</v>
      </c>
      <c r="W6" s="26" t="e">
        <f>1/((1/Data!E9)-(1/Data!$E$28))/Time_scale</f>
        <v>#NUM!</v>
      </c>
      <c r="X6" s="26">
        <f>1/((1/Data!E9)-(1/Data!$E$29))/Time_scale</f>
        <v>0.6147106035992383</v>
      </c>
      <c r="Y6" s="26">
        <f>1/((1/Data!E9)-(1/Data!$E$30))/Time_scale</f>
        <v>0.6146613661218447</v>
      </c>
      <c r="Z6" s="26">
        <f>1/((1/Data!E9)-(1/Data!$E$31))/Time_scale</f>
        <v>0.6146418459437618</v>
      </c>
      <c r="AA6" s="26">
        <f>1/((1/Data!E9)-(1/Data!$E$32))/Time_scale</f>
        <v>0.6146391289255061</v>
      </c>
      <c r="AB6" s="26" t="e">
        <f>1/((1/Data!E9)-(1/Data!$E$33))/Time_scale</f>
        <v>#NUM!</v>
      </c>
      <c r="AC6" s="26" t="e">
        <f>1/((1/Data!E9)-(1/Data!$E$34))/Time_scale</f>
        <v>#NUM!</v>
      </c>
      <c r="AD6" s="26" t="e">
        <f>1/((1/Data!E9)-(1/Data!$E$35))/Time_scale</f>
        <v>#NUM!</v>
      </c>
      <c r="AE6" s="26" t="e">
        <f>1/((1/Data!E9)-(1/Data!$E$36))/Time_scale</f>
        <v>#NUM!</v>
      </c>
      <c r="AF6" s="21" t="str">
        <f>Data!A9</f>
        <v>Prometheus (SXVI)</v>
      </c>
    </row>
    <row r="7" spans="1:32" ht="12.75">
      <c r="A7" s="3" t="str">
        <f>Data!A10</f>
        <v>Pandora (SXVII)</v>
      </c>
      <c r="B7" s="27">
        <f>(PI()*SQRT(((1+(Data!$D10/Data!$D$7))/2)^3))*Data!$H$7/Time_scale</f>
        <v>0.3014738920249028</v>
      </c>
      <c r="C7" s="27">
        <f>(PI()*SQRT(((1+(Data!$D10/Data!$D$8))/2)^3))*Data!$H$8/Time_scale</f>
        <v>0.30821251593350973</v>
      </c>
      <c r="D7" s="27">
        <f>(PI()*SQRT(((1+(Data!$D10/Data!$D$9))/2)^3))*Data!$H$9/Time_scale</f>
        <v>0.3110018389355653</v>
      </c>
      <c r="E7" s="30"/>
      <c r="F7" s="28">
        <f>1/((1/Data!E10)-(1/Data!$E$11))/Time_scale</f>
        <v>6.647489740898418</v>
      </c>
      <c r="G7" s="28">
        <f>1/((1/Data!E10)-(1/Data!$E$12))/Time_scale</f>
        <v>6.616191514398819</v>
      </c>
      <c r="H7" s="28">
        <f>1/((1/Data!E10)-(1/Data!$E$13))/Time_scale</f>
        <v>1.8943214220892945</v>
      </c>
      <c r="I7" s="28">
        <f>1/((1/Data!E10)-(1/Data!$E$14))/Time_scale</f>
        <v>1.164894048173946</v>
      </c>
      <c r="J7" s="28">
        <f>1/((1/Data!E10)-(1/Data!$E$15))/Time_scale</f>
        <v>0.9449281819428379</v>
      </c>
      <c r="K7" s="28">
        <f>1/((1/Data!E10)-(1/Data!$E$16))/Time_scale</f>
        <v>0.9449281819428379</v>
      </c>
      <c r="L7" s="28">
        <f>1/((1/Data!E10)-(1/Data!$E$17))/Time_scale</f>
        <v>0.9449281819428379</v>
      </c>
      <c r="M7" s="28">
        <f>1/((1/Data!E10)-(1/Data!$E$18))/Time_scale</f>
        <v>0.8180064586259552</v>
      </c>
      <c r="N7" s="28">
        <f>1/((1/Data!E10)-(1/Data!$E$19))/Time_scale</f>
        <v>0.8180064586259552</v>
      </c>
      <c r="O7" s="28">
        <f>1/((1/Data!E10)-(1/Data!$E$20))/Time_scale</f>
        <v>0.7318353041466477</v>
      </c>
      <c r="P7" s="28">
        <f>1/((1/Data!E10)-(1/Data!$E$21))/Time_scale</f>
        <v>0.6557081909274969</v>
      </c>
      <c r="Q7" s="28">
        <f>1/((1/Data!E10)-(1/Data!$E$22))/Time_scale</f>
        <v>0.6490170913155635</v>
      </c>
      <c r="R7" s="28">
        <f>1/((1/Data!E10)-(1/Data!$E$23))/Time_scale</f>
        <v>0.6348498413853264</v>
      </c>
      <c r="S7" s="28">
        <f>1/((1/Data!E10)-(1/Data!$E$24))/Time_scale</f>
        <v>0.6306886693753769</v>
      </c>
      <c r="T7" s="28">
        <f>1/((1/Data!E10)-(1/Data!$E$25))/Time_scale</f>
        <v>0.6306806169641772</v>
      </c>
      <c r="U7" s="28" t="e">
        <f>1/((1/Data!E10)-(1/Data!$E$26))/Time_scale</f>
        <v>#NUM!</v>
      </c>
      <c r="V7" s="28">
        <f>1/((1/Data!E10)-(1/Data!$E$27))/Time_scale</f>
        <v>0.6303786077776656</v>
      </c>
      <c r="W7" s="28" t="e">
        <f>1/((1/Data!E10)-(1/Data!$E$28))/Time_scale</f>
        <v>#NUM!</v>
      </c>
      <c r="X7" s="28">
        <f>1/((1/Data!E10)-(1/Data!$E$29))/Time_scale</f>
        <v>0.6303179000417088</v>
      </c>
      <c r="Y7" s="28">
        <f>1/((1/Data!E10)-(1/Data!$E$30))/Time_scale</f>
        <v>0.630266130683255</v>
      </c>
      <c r="Z7" s="28">
        <f>1/((1/Data!E10)-(1/Data!$E$31))/Time_scale</f>
        <v>0.6302456068002318</v>
      </c>
      <c r="AA7" s="28">
        <f>1/((1/Data!E10)-(1/Data!$E$32))/Time_scale</f>
        <v>0.6302427500786691</v>
      </c>
      <c r="AB7" s="28" t="e">
        <f>1/((1/Data!E10)-(1/Data!$E$33))/Time_scale</f>
        <v>#NUM!</v>
      </c>
      <c r="AC7" s="28" t="e">
        <f>1/((1/Data!E10)-(1/Data!$E$34))/Time_scale</f>
        <v>#NUM!</v>
      </c>
      <c r="AD7" s="28" t="e">
        <f>1/((1/Data!E10)-(1/Data!$E$35))/Time_scale</f>
        <v>#NUM!</v>
      </c>
      <c r="AE7" s="28" t="e">
        <f>1/((1/Data!E10)-(1/Data!$E$36))/Time_scale</f>
        <v>#NUM!</v>
      </c>
      <c r="AF7" s="19" t="str">
        <f>Data!A10</f>
        <v>Pandora (SXVII)</v>
      </c>
    </row>
    <row r="8" spans="1:32" ht="12.75">
      <c r="A8" s="3" t="str">
        <f>Data!A11</f>
        <v>Epimetheus (SXI)</v>
      </c>
      <c r="B8" s="29">
        <f>(PI()*SQRT(((1+(Data!$D11/Data!$D$7))/2)^3))*Data!$H$7/Time_scale</f>
        <v>0.3175845288910796</v>
      </c>
      <c r="C8" s="29">
        <f>(PI()*SQRT(((1+(Data!$D11/Data!$D$8))/2)^3))*Data!$H$8/Time_scale</f>
        <v>0.3244402515363572</v>
      </c>
      <c r="D8" s="29">
        <f>(PI()*SQRT(((1+(Data!$D11/Data!$D$9))/2)^3))*Data!$H$9/Time_scale</f>
        <v>0.32727755011604853</v>
      </c>
      <c r="E8" s="29">
        <f>(PI()*SQRT(((1+(Data!$D11/Data!$D$10))/2)^3))*Data!$H$10/Time_scale</f>
        <v>0.33124798245340753</v>
      </c>
      <c r="F8" s="31"/>
      <c r="G8" s="26">
        <f>1/((1/Data!E11)-(1/Data!$E$12))/Time_scale</f>
        <v>1405.2254755185795</v>
      </c>
      <c r="H8" s="26">
        <f>1/((1/Data!E11)-(1/Data!$E$13))/Time_scale</f>
        <v>2.6492817789498466</v>
      </c>
      <c r="I8" s="26">
        <f>1/((1/Data!E11)-(1/Data!$E$14))/Time_scale</f>
        <v>1.4124005614249278</v>
      </c>
      <c r="J8" s="26">
        <f>1/((1/Data!E11)-(1/Data!$E$15))/Time_scale</f>
        <v>1.1015050570539113</v>
      </c>
      <c r="K8" s="26">
        <f>1/((1/Data!E11)-(1/Data!$E$16))/Time_scale</f>
        <v>1.1015050570539113</v>
      </c>
      <c r="L8" s="26">
        <f>1/((1/Data!E11)-(1/Data!$E$17))/Time_scale</f>
        <v>1.1015050570539113</v>
      </c>
      <c r="M8" s="26">
        <f>1/((1/Data!E11)-(1/Data!$E$18))/Time_scale</f>
        <v>0.9327910002316621</v>
      </c>
      <c r="N8" s="26">
        <f>1/((1/Data!E11)-(1/Data!$E$19))/Time_scale</f>
        <v>0.9327910002316621</v>
      </c>
      <c r="O8" s="26">
        <f>1/((1/Data!E11)-(1/Data!$E$20))/Time_scale</f>
        <v>0.8223718488555539</v>
      </c>
      <c r="P8" s="26">
        <f>1/((1/Data!E11)-(1/Data!$E$21))/Time_scale</f>
        <v>0.727465351642326</v>
      </c>
      <c r="Q8" s="26">
        <f>1/((1/Data!E11)-(1/Data!$E$22))/Time_scale</f>
        <v>0.719238830986079</v>
      </c>
      <c r="R8" s="26">
        <f>1/((1/Data!E11)-(1/Data!$E$23))/Time_scale</f>
        <v>0.7018810170157865</v>
      </c>
      <c r="S8" s="26">
        <f>1/((1/Data!E11)-(1/Data!$E$24))/Time_scale</f>
        <v>0.6967982503553902</v>
      </c>
      <c r="T8" s="26">
        <f>1/((1/Data!E11)-(1/Data!$E$25))/Time_scale</f>
        <v>0.696788421353729</v>
      </c>
      <c r="U8" s="26" t="e">
        <f>1/((1/Data!E11)-(1/Data!$E$26))/Time_scale</f>
        <v>#NUM!</v>
      </c>
      <c r="V8" s="26">
        <f>1/((1/Data!E11)-(1/Data!$E$27))/Time_scale</f>
        <v>0.6964197993648334</v>
      </c>
      <c r="W8" s="26" t="e">
        <f>1/((1/Data!E11)-(1/Data!$E$28))/Time_scale</f>
        <v>#NUM!</v>
      </c>
      <c r="X8" s="26">
        <f>1/((1/Data!E11)-(1/Data!$E$29))/Time_scale</f>
        <v>0.6963457060643506</v>
      </c>
      <c r="Y8" s="26">
        <f>1/((1/Data!E11)-(1/Data!$E$30))/Time_scale</f>
        <v>0.6962825231623502</v>
      </c>
      <c r="Z8" s="26">
        <f>1/((1/Data!E11)-(1/Data!$E$31))/Time_scale</f>
        <v>0.6962574746983792</v>
      </c>
      <c r="AA8" s="26">
        <f>1/((1/Data!E11)-(1/Data!$E$32))/Time_scale</f>
        <v>0.696253988213438</v>
      </c>
      <c r="AB8" s="26" t="e">
        <f>1/((1/Data!E11)-(1/Data!$E$33))/Time_scale</f>
        <v>#NUM!</v>
      </c>
      <c r="AC8" s="26" t="e">
        <f>1/((1/Data!E11)-(1/Data!$E$34))/Time_scale</f>
        <v>#NUM!</v>
      </c>
      <c r="AD8" s="26" t="e">
        <f>1/((1/Data!E11)-(1/Data!$E$35))/Time_scale</f>
        <v>#NUM!</v>
      </c>
      <c r="AE8" s="26" t="e">
        <f>1/((1/Data!E11)-(1/Data!$E$36))/Time_scale</f>
        <v>#NUM!</v>
      </c>
      <c r="AF8" s="19" t="str">
        <f>Data!A11</f>
        <v>Epimetheus (SXI)</v>
      </c>
    </row>
    <row r="9" spans="1:32" ht="12.75">
      <c r="A9" s="3" t="str">
        <f>Data!A12</f>
        <v>Janus (SX)</v>
      </c>
      <c r="B9" s="27">
        <f>(PI()*SQRT(((1+(Data!$D12/Data!$D$7))/2)^3))*Data!$H$7/Time_scale</f>
        <v>0.31766810596623235</v>
      </c>
      <c r="C9" s="27">
        <f>(PI()*SQRT(((1+(Data!$D12/Data!$D$8))/2)^3))*Data!$H$8/Time_scale</f>
        <v>0.3245244256780359</v>
      </c>
      <c r="D9" s="27">
        <f>(PI()*SQRT(((1+(Data!$D12/Data!$D$9))/2)^3))*Data!$H$9/Time_scale</f>
        <v>0.3273619688983301</v>
      </c>
      <c r="E9" s="27">
        <f>(PI()*SQRT(((1+(Data!$D12/Data!$D$10))/2)^3))*Data!$H$10/Time_scale</f>
        <v>0.3313327412162886</v>
      </c>
      <c r="F9" s="27">
        <f>(PI()*SQRT(((1+(Data!$D12/Data!$D$11))/2)^3))*Data!$H$11/Time_scale</f>
        <v>0.3479498268439252</v>
      </c>
      <c r="G9" s="30"/>
      <c r="H9" s="28">
        <f>1/((1/Data!E12)-(1/Data!$E$13))/Time_scale</f>
        <v>2.654285923448808</v>
      </c>
      <c r="I9" s="28">
        <f>1/((1/Data!E12)-(1/Data!$E$14))/Time_scale</f>
        <v>1.4138216020046888</v>
      </c>
      <c r="J9" s="28">
        <f>1/((1/Data!E12)-(1/Data!$E$15))/Time_scale</f>
        <v>1.1023691640816666</v>
      </c>
      <c r="K9" s="28">
        <f>1/((1/Data!E12)-(1/Data!$E$16))/Time_scale</f>
        <v>1.1023691640816666</v>
      </c>
      <c r="L9" s="28">
        <f>1/((1/Data!E12)-(1/Data!$E$17))/Time_scale</f>
        <v>1.1023691640816666</v>
      </c>
      <c r="M9" s="28">
        <f>1/((1/Data!E12)-(1/Data!$E$18))/Time_scale</f>
        <v>0.9334105997351742</v>
      </c>
      <c r="N9" s="28">
        <f>1/((1/Data!E12)-(1/Data!$E$19))/Time_scale</f>
        <v>0.9334105997351742</v>
      </c>
      <c r="O9" s="28">
        <f>1/((1/Data!E12)-(1/Data!$E$20))/Time_scale</f>
        <v>0.8228534025177632</v>
      </c>
      <c r="P9" s="28">
        <f>1/((1/Data!E12)-(1/Data!$E$21))/Time_scale</f>
        <v>0.7278421452255203</v>
      </c>
      <c r="Q9" s="28">
        <f>1/((1/Data!E12)-(1/Data!$E$22))/Time_scale</f>
        <v>0.7196071486784362</v>
      </c>
      <c r="R9" s="28">
        <f>1/((1/Data!E12)-(1/Data!$E$23))/Time_scale</f>
        <v>0.7022317672374102</v>
      </c>
      <c r="S9" s="28">
        <f>1/((1/Data!E12)-(1/Data!$E$24))/Time_scale</f>
        <v>0.6971439377091314</v>
      </c>
      <c r="T9" s="28">
        <f>1/((1/Data!E12)-(1/Data!$E$25))/Time_scale</f>
        <v>0.6971340989526223</v>
      </c>
      <c r="U9" s="28" t="e">
        <f>1/((1/Data!E12)-(1/Data!$E$26))/Time_scale</f>
        <v>#NUM!</v>
      </c>
      <c r="V9" s="28">
        <f>1/((1/Data!E12)-(1/Data!$E$27))/Time_scale</f>
        <v>0.6967651112221941</v>
      </c>
      <c r="W9" s="28" t="e">
        <f>1/((1/Data!E12)-(1/Data!$E$28))/Time_scale</f>
        <v>#NUM!</v>
      </c>
      <c r="X9" s="28">
        <f>1/((1/Data!E12)-(1/Data!$E$29))/Time_scale</f>
        <v>0.6966909444307624</v>
      </c>
      <c r="Y9" s="28">
        <f>1/((1/Data!E12)-(1/Data!$E$30))/Time_scale</f>
        <v>0.6966276988656955</v>
      </c>
      <c r="Z9" s="28">
        <f>1/((1/Data!E12)-(1/Data!$E$31))/Time_scale</f>
        <v>0.6966026255609212</v>
      </c>
      <c r="AA9" s="28">
        <f>1/((1/Data!E12)-(1/Data!$E$32))/Time_scale</f>
        <v>0.6965991356184702</v>
      </c>
      <c r="AB9" s="28" t="e">
        <f>1/((1/Data!E12)-(1/Data!$E$33))/Time_scale</f>
        <v>#NUM!</v>
      </c>
      <c r="AC9" s="28" t="e">
        <f>1/((1/Data!E12)-(1/Data!$E$34))/Time_scale</f>
        <v>#NUM!</v>
      </c>
      <c r="AD9" s="28" t="e">
        <f>1/((1/Data!E12)-(1/Data!$E$35))/Time_scale</f>
        <v>#NUM!</v>
      </c>
      <c r="AE9" s="28" t="e">
        <f>1/((1/Data!E12)-(1/Data!$E$36))/Time_scale</f>
        <v>#NUM!</v>
      </c>
      <c r="AF9" s="19" t="str">
        <f>Data!A12</f>
        <v>Janus (SX)</v>
      </c>
    </row>
    <row r="10" spans="1:32" ht="12.75">
      <c r="A10" s="3" t="str">
        <f>Data!A13</f>
        <v>Mimas (SI)</v>
      </c>
      <c r="B10" s="29">
        <f>(PI()*SQRT(((1+(Data!$D13/Data!$D$7))/2)^3))*Data!$H$7/Time_scale</f>
        <v>0.3762503821289323</v>
      </c>
      <c r="C10" s="29">
        <f>(PI()*SQRT(((1+(Data!$D13/Data!$D$8))/2)^3))*Data!$H$8/Time_scale</f>
        <v>0.38350187425318355</v>
      </c>
      <c r="D10" s="29">
        <f>(PI()*SQRT(((1+(Data!$D13/Data!$D$9))/2)^3))*Data!$H$9/Time_scale</f>
        <v>0.38650137854398536</v>
      </c>
      <c r="E10" s="29">
        <f>(PI()*SQRT(((1+(Data!$D13/Data!$D$10))/2)^3))*Data!$H$10/Time_scale</f>
        <v>0.3906972725080779</v>
      </c>
      <c r="F10" s="29">
        <f>(PI()*SQRT(((1+(Data!$D13/Data!$D$11))/2)^3))*Data!$H$11/Time_scale</f>
        <v>0.4082379204236413</v>
      </c>
      <c r="G10" s="29">
        <f>(PI()*SQRT(((1+(Data!$D13/Data!$D$12))/2)^3))*Data!$H$12/Time_scale</f>
        <v>0.4083287935705803</v>
      </c>
      <c r="H10" s="30"/>
      <c r="I10" s="26">
        <f>1/((1/Data!E13)-(1/Data!$E$14))/Time_scale</f>
        <v>3.0252274987644143</v>
      </c>
      <c r="J10" s="26">
        <f>1/((1/Data!E13)-(1/Data!$E$15))/Time_scale</f>
        <v>1.8854123051414156</v>
      </c>
      <c r="K10" s="26">
        <f>1/((1/Data!E13)-(1/Data!$E$16))/Time_scale</f>
        <v>1.8854123051414156</v>
      </c>
      <c r="L10" s="26">
        <f>1/((1/Data!E13)-(1/Data!$E$17))/Time_scale</f>
        <v>1.8854123051414156</v>
      </c>
      <c r="M10" s="26">
        <f>1/((1/Data!E13)-(1/Data!$E$18))/Time_scale</f>
        <v>1.4396967528876388</v>
      </c>
      <c r="N10" s="26">
        <f>1/((1/Data!E13)-(1/Data!$E$19))/Time_scale</f>
        <v>1.4396967528876388</v>
      </c>
      <c r="O10" s="26">
        <f>1/((1/Data!E13)-(1/Data!$E$20))/Time_scale</f>
        <v>1.1925572896644483</v>
      </c>
      <c r="P10" s="26">
        <f>1/((1/Data!E13)-(1/Data!$E$21))/Time_scale</f>
        <v>1.0028328791129462</v>
      </c>
      <c r="Q10" s="26">
        <f>1/((1/Data!E13)-(1/Data!$E$22))/Time_scale</f>
        <v>0.9872662842321261</v>
      </c>
      <c r="R10" s="26">
        <f>1/((1/Data!E13)-(1/Data!$E$23))/Time_scale</f>
        <v>0.9548525530635863</v>
      </c>
      <c r="S10" s="26">
        <f>1/((1/Data!E13)-(1/Data!$E$24))/Time_scale</f>
        <v>0.9454701569746754</v>
      </c>
      <c r="T10" s="26">
        <f>1/((1/Data!E13)-(1/Data!$E$25))/Time_scale</f>
        <v>0.9454520607170814</v>
      </c>
      <c r="U10" s="26" t="e">
        <f>1/((1/Data!E13)-(1/Data!$E$26))/Time_scale</f>
        <v>#NUM!</v>
      </c>
      <c r="V10" s="26">
        <f>1/((1/Data!E13)-(1/Data!$E$27))/Time_scale</f>
        <v>0.9447735191962873</v>
      </c>
      <c r="W10" s="26" t="e">
        <f>1/((1/Data!E13)-(1/Data!$E$28))/Time_scale</f>
        <v>#NUM!</v>
      </c>
      <c r="X10" s="26">
        <f>1/((1/Data!E13)-(1/Data!$E$29))/Time_scale</f>
        <v>0.9446371627518269</v>
      </c>
      <c r="Y10" s="26">
        <f>1/((1/Data!E13)-(1/Data!$E$30))/Time_scale</f>
        <v>0.9445208932613913</v>
      </c>
      <c r="Z10" s="26">
        <f>1/((1/Data!E13)-(1/Data!$E$31))/Time_scale</f>
        <v>0.9444748010358325</v>
      </c>
      <c r="AA10" s="26">
        <f>1/((1/Data!E13)-(1/Data!$E$32))/Time_scale</f>
        <v>0.9444683855724898</v>
      </c>
      <c r="AB10" s="26" t="e">
        <f>1/((1/Data!E13)-(1/Data!$E$33))/Time_scale</f>
        <v>#NUM!</v>
      </c>
      <c r="AC10" s="26" t="e">
        <f>1/((1/Data!E13)-(1/Data!$E$34))/Time_scale</f>
        <v>#NUM!</v>
      </c>
      <c r="AD10" s="26" t="e">
        <f>1/((1/Data!E13)-(1/Data!$E$35))/Time_scale</f>
        <v>#NUM!</v>
      </c>
      <c r="AE10" s="26" t="e">
        <f>1/((1/Data!E13)-(1/Data!$E$36))/Time_scale</f>
        <v>#NUM!</v>
      </c>
      <c r="AF10" s="19" t="str">
        <f>Data!A13</f>
        <v>Mimas (SI)</v>
      </c>
    </row>
    <row r="11" spans="1:32" ht="12.75">
      <c r="A11" s="3" t="str">
        <f>Data!A14</f>
        <v>Enceladus (SII)</v>
      </c>
      <c r="B11" s="27">
        <f>(PI()*SQRT(((1+(Data!$D14/Data!$D$7))/2)^3))*Data!$H$7/Time_scale</f>
        <v>0.4728239165922138</v>
      </c>
      <c r="C11" s="27">
        <f>(PI()*SQRT(((1+(Data!$D14/Data!$D$8))/2)^3))*Data!$H$8/Time_scale</f>
        <v>0.4806457116692276</v>
      </c>
      <c r="D11" s="27">
        <f>(PI()*SQRT(((1+(Data!$D14/Data!$D$9))/2)^3))*Data!$H$9/Time_scale</f>
        <v>0.48387909027785253</v>
      </c>
      <c r="E11" s="27">
        <f>(PI()*SQRT(((1+(Data!$D14/Data!$D$10))/2)^3))*Data!$H$10/Time_scale</f>
        <v>0.4884001933816018</v>
      </c>
      <c r="F11" s="27">
        <f>(PI()*SQRT(((1+(Data!$D14/Data!$D$11))/2)^3))*Data!$H$11/Time_scale</f>
        <v>0.5072765648745243</v>
      </c>
      <c r="G11" s="27">
        <f>(PI()*SQRT(((1+(Data!$D14/Data!$D$12))/2)^3))*Data!$H$12/Time_scale</f>
        <v>0.5073742609717647</v>
      </c>
      <c r="H11" s="27">
        <f>(PI()*SQRT(((1+(Data!$D14/Data!$D$13))/2)^3))*Data!$H$13/Time_scale</f>
        <v>0.5753369508354218</v>
      </c>
      <c r="I11" s="30"/>
      <c r="J11" s="28">
        <f>1/((1/Data!E14)-(1/Data!$E$15))/Time_scale</f>
        <v>5.004145570206517</v>
      </c>
      <c r="K11" s="28">
        <f>1/((1/Data!E14)-(1/Data!$E$16))/Time_scale</f>
        <v>5.004145570206517</v>
      </c>
      <c r="L11" s="28">
        <f>1/((1/Data!E14)-(1/Data!$E$17))/Time_scale</f>
        <v>5.004145570206517</v>
      </c>
      <c r="M11" s="28">
        <f>1/((1/Data!E14)-(1/Data!$E$18))/Time_scale</f>
        <v>2.7469730360284124</v>
      </c>
      <c r="N11" s="28">
        <f>1/((1/Data!E14)-(1/Data!$E$19))/Time_scale</f>
        <v>2.7469730360284124</v>
      </c>
      <c r="O11" s="28">
        <f>1/((1/Data!E14)-(1/Data!$E$20))/Time_scale</f>
        <v>1.9685795560111365</v>
      </c>
      <c r="P11" s="28">
        <f>1/((1/Data!E14)-(1/Data!$E$21))/Time_scale</f>
        <v>1.5001016977984285</v>
      </c>
      <c r="Q11" s="28">
        <f>1/((1/Data!E14)-(1/Data!$E$22))/Time_scale</f>
        <v>1.4655357964442128</v>
      </c>
      <c r="R11" s="28">
        <f>1/((1/Data!E14)-(1/Data!$E$23))/Time_scale</f>
        <v>1.3952285342283992</v>
      </c>
      <c r="S11" s="28">
        <f>1/((1/Data!E14)-(1/Data!$E$24))/Time_scale</f>
        <v>1.3752865589980279</v>
      </c>
      <c r="T11" s="28">
        <f>1/((1/Data!E14)-(1/Data!$E$25))/Time_scale</f>
        <v>1.3752482698469597</v>
      </c>
      <c r="U11" s="28" t="e">
        <f>1/((1/Data!E14)-(1/Data!$E$26))/Time_scale</f>
        <v>#NUM!</v>
      </c>
      <c r="V11" s="28">
        <f>1/((1/Data!E14)-(1/Data!$E$27))/Time_scale</f>
        <v>1.3738130515967242</v>
      </c>
      <c r="W11" s="28" t="e">
        <f>1/((1/Data!E14)-(1/Data!$E$28))/Time_scale</f>
        <v>#NUM!</v>
      </c>
      <c r="X11" s="28">
        <f>1/((1/Data!E14)-(1/Data!$E$29))/Time_scale</f>
        <v>1.373524749994</v>
      </c>
      <c r="Y11" s="28">
        <f>1/((1/Data!E14)-(1/Data!$E$30))/Time_scale</f>
        <v>1.3732789485527195</v>
      </c>
      <c r="Z11" s="28">
        <f>1/((1/Data!E14)-(1/Data!$E$31))/Time_scale</f>
        <v>1.373181514123576</v>
      </c>
      <c r="AA11" s="28">
        <f>1/((1/Data!E14)-(1/Data!$E$32))/Time_scale</f>
        <v>1.3731679528076075</v>
      </c>
      <c r="AB11" s="28" t="e">
        <f>1/((1/Data!E14)-(1/Data!$E$33))/Time_scale</f>
        <v>#NUM!</v>
      </c>
      <c r="AC11" s="28" t="e">
        <f>1/((1/Data!E14)-(1/Data!$E$34))/Time_scale</f>
        <v>#NUM!</v>
      </c>
      <c r="AD11" s="28" t="e">
        <f>1/((1/Data!E14)-(1/Data!$E$35))/Time_scale</f>
        <v>#NUM!</v>
      </c>
      <c r="AE11" s="28" t="e">
        <f>1/((1/Data!E14)-(1/Data!$E$36))/Time_scale</f>
        <v>#NUM!</v>
      </c>
      <c r="AF11" s="19" t="str">
        <f>Data!A14</f>
        <v>Enceladus (SII)</v>
      </c>
    </row>
    <row r="12" spans="1:32" ht="12.75">
      <c r="A12" s="3" t="str">
        <f>Data!A15</f>
        <v>Calypso (SXIV)</v>
      </c>
      <c r="B12" s="29">
        <f>(PI()*SQRT(((1+(Data!$D15/Data!$D$7))/2)^3))*Data!$H$7/Time_scale</f>
        <v>0.5849463402067604</v>
      </c>
      <c r="C12" s="29">
        <f>(PI()*SQRT(((1+(Data!$D15/Data!$D$8))/2)^3))*Data!$H$8/Time_scale</f>
        <v>0.5933400696776503</v>
      </c>
      <c r="D12" s="29">
        <f>(PI()*SQRT(((1+(Data!$D15/Data!$D$9))/2)^3))*Data!$H$9/Time_scale</f>
        <v>0.5968081237738888</v>
      </c>
      <c r="E12" s="29">
        <f>(PI()*SQRT(((1+(Data!$D15/Data!$D$10))/2)^3))*Data!$H$10/Time_scale</f>
        <v>0.6016556765196007</v>
      </c>
      <c r="F12" s="29">
        <f>(PI()*SQRT(((1+(Data!$D15/Data!$D$11))/2)^3))*Data!$H$11/Time_scale</f>
        <v>0.6218743838382217</v>
      </c>
      <c r="G12" s="29">
        <f>(PI()*SQRT(((1+(Data!$D15/Data!$D$12))/2)^3))*Data!$H$12/Time_scale</f>
        <v>0.6219789428334609</v>
      </c>
      <c r="H12" s="29">
        <f>(PI()*SQRT(((1+(Data!$D15/Data!$D$13))/2)^3))*Data!$H$13/Time_scale</f>
        <v>0.6945231396541239</v>
      </c>
      <c r="I12" s="29">
        <f>(PI()*SQRT(((1+(Data!$D15/Data!$D$14))/2)^3))*Data!$H$14/Time_scale</f>
        <v>0.8114844564032289</v>
      </c>
      <c r="J12" s="30"/>
      <c r="K12" s="26" t="e">
        <f>1/((1/Data!E15)-(1/Data!$E$16))/Time_scale</f>
        <v>#DIV/0!</v>
      </c>
      <c r="L12" s="26" t="e">
        <f>1/((1/Data!E15)-(1/Data!$E$17))/Time_scale</f>
        <v>#DIV/0!</v>
      </c>
      <c r="M12" s="26">
        <f>1/((1/Data!E15)-(1/Data!$E$18))/Time_scale</f>
        <v>6.0900319942638745</v>
      </c>
      <c r="N12" s="26">
        <f>1/((1/Data!E15)-(1/Data!$E$19))/Time_scale</f>
        <v>6.0900319942638745</v>
      </c>
      <c r="O12" s="26">
        <f>1/((1/Data!E15)-(1/Data!$E$20))/Time_scale</f>
        <v>3.24521312293826</v>
      </c>
      <c r="P12" s="26">
        <f>1/((1/Data!E15)-(1/Data!$E$21))/Time_scale</f>
        <v>2.1423040176544434</v>
      </c>
      <c r="Q12" s="26">
        <f>1/((1/Data!E15)-(1/Data!$E$22))/Time_scale</f>
        <v>2.072495961022011</v>
      </c>
      <c r="R12" s="26">
        <f>1/((1/Data!E15)-(1/Data!$E$23))/Time_scale</f>
        <v>1.934632084744635</v>
      </c>
      <c r="S12" s="26">
        <f>1/((1/Data!E15)-(1/Data!$E$24))/Time_scale</f>
        <v>1.896500834206464</v>
      </c>
      <c r="T12" s="26">
        <f>1/((1/Data!E15)-(1/Data!$E$25))/Time_scale</f>
        <v>1.8964280242394749</v>
      </c>
      <c r="U12" s="26" t="e">
        <f>1/((1/Data!E15)-(1/Data!$E$26))/Time_scale</f>
        <v>#NUM!</v>
      </c>
      <c r="V12" s="26">
        <f>1/((1/Data!E15)-(1/Data!$E$27))/Time_scale</f>
        <v>1.8936999465471225</v>
      </c>
      <c r="W12" s="26" t="e">
        <f>1/((1/Data!E15)-(1/Data!$E$28))/Time_scale</f>
        <v>#NUM!</v>
      </c>
      <c r="X12" s="26">
        <f>1/((1/Data!E15)-(1/Data!$E$29))/Time_scale</f>
        <v>1.893152200027642</v>
      </c>
      <c r="Y12" s="26">
        <f>1/((1/Data!E15)-(1/Data!$E$30))/Time_scale</f>
        <v>1.8926852686006506</v>
      </c>
      <c r="Z12" s="26">
        <f>1/((1/Data!E15)-(1/Data!$E$31))/Time_scale</f>
        <v>1.8925001968771906</v>
      </c>
      <c r="AA12" s="26">
        <f>1/((1/Data!E15)-(1/Data!$E$32))/Time_scale</f>
        <v>1.8924744386373384</v>
      </c>
      <c r="AB12" s="26" t="e">
        <f>1/((1/Data!E15)-(1/Data!$E$33))/Time_scale</f>
        <v>#NUM!</v>
      </c>
      <c r="AC12" s="26" t="e">
        <f>1/((1/Data!E15)-(1/Data!$E$34))/Time_scale</f>
        <v>#NUM!</v>
      </c>
      <c r="AD12" s="26" t="e">
        <f>1/((1/Data!E15)-(1/Data!$E$35))/Time_scale</f>
        <v>#NUM!</v>
      </c>
      <c r="AE12" s="26" t="e">
        <f>1/((1/Data!E15)-(1/Data!$E$36))/Time_scale</f>
        <v>#NUM!</v>
      </c>
      <c r="AF12" s="19" t="str">
        <f>Data!A15</f>
        <v>Calypso (SXIV)</v>
      </c>
    </row>
    <row r="13" spans="1:32" ht="12.75">
      <c r="A13" s="3" t="str">
        <f>Data!A16</f>
        <v>Tethys (SIII)</v>
      </c>
      <c r="B13" s="27">
        <f>(PI()*SQRT(((1+(Data!$D16/Data!$D$7))/2)^3))*Data!$H$7/Time_scale</f>
        <v>0.5849463402067604</v>
      </c>
      <c r="C13" s="27">
        <f>(PI()*SQRT(((1+(Data!$D16/Data!$D$8))/2)^3))*Data!$H$8/Time_scale</f>
        <v>0.5933400696776503</v>
      </c>
      <c r="D13" s="27">
        <f>(PI()*SQRT(((1+(Data!$D16/Data!$D$9))/2)^3))*Data!$H$9/Time_scale</f>
        <v>0.5968081237738888</v>
      </c>
      <c r="E13" s="27">
        <f>(PI()*SQRT(((1+(Data!$D16/Data!$D$10))/2)^3))*Data!$H$10/Time_scale</f>
        <v>0.6016556765196007</v>
      </c>
      <c r="F13" s="27">
        <f>(PI()*SQRT(((1+(Data!$D16/Data!$D$11))/2)^3))*Data!$H$11/Time_scale</f>
        <v>0.6218743838382217</v>
      </c>
      <c r="G13" s="27">
        <f>(PI()*SQRT(((1+(Data!$D16/Data!$D$12))/2)^3))*Data!$H$12/Time_scale</f>
        <v>0.6219789428334609</v>
      </c>
      <c r="H13" s="27">
        <f>(PI()*SQRT(((1+(Data!$D16/Data!$D$13))/2)^3))*Data!$H$13/Time_scale</f>
        <v>0.6945231396541239</v>
      </c>
      <c r="I13" s="27">
        <f>(PI()*SQRT(((1+(Data!$D16/Data!$D$14))/2)^3))*Data!$H$14/Time_scale</f>
        <v>0.8114844564032289</v>
      </c>
      <c r="J13" s="27">
        <f>(PI()*SQRT(((1+(Data!$D16/Data!$D$15))/2)^3))*Data!$H$15/Time_scale</f>
        <v>0.9442943456949018</v>
      </c>
      <c r="K13" s="30"/>
      <c r="L13" s="28" t="e">
        <f>1/((1/Data!E16)-(1/Data!$E$17))/Time_scale</f>
        <v>#DIV/0!</v>
      </c>
      <c r="M13" s="28">
        <f>1/((1/Data!E16)-(1/Data!$E$18))/Time_scale</f>
        <v>6.0900319942638745</v>
      </c>
      <c r="N13" s="28">
        <f>1/((1/Data!E16)-(1/Data!$E$19))/Time_scale</f>
        <v>6.0900319942638745</v>
      </c>
      <c r="O13" s="28">
        <f>1/((1/Data!E16)-(1/Data!$E$20))/Time_scale</f>
        <v>3.24521312293826</v>
      </c>
      <c r="P13" s="28">
        <f>1/((1/Data!E16)-(1/Data!$E$21))/Time_scale</f>
        <v>2.1423040176544434</v>
      </c>
      <c r="Q13" s="28">
        <f>1/((1/Data!E16)-(1/Data!$E$22))/Time_scale</f>
        <v>2.072495961022011</v>
      </c>
      <c r="R13" s="28">
        <f>1/((1/Data!E16)-(1/Data!$E$23))/Time_scale</f>
        <v>1.934632084744635</v>
      </c>
      <c r="S13" s="28">
        <f>1/((1/Data!E16)-(1/Data!$E$24))/Time_scale</f>
        <v>1.896500834206464</v>
      </c>
      <c r="T13" s="28">
        <f>1/((1/Data!E16)-(1/Data!$E$25))/Time_scale</f>
        <v>1.8964280242394749</v>
      </c>
      <c r="U13" s="28" t="e">
        <f>1/((1/Data!E16)-(1/Data!$E$26))/Time_scale</f>
        <v>#NUM!</v>
      </c>
      <c r="V13" s="28">
        <f>1/((1/Data!E16)-(1/Data!$E$27))/Time_scale</f>
        <v>1.8936999465471225</v>
      </c>
      <c r="W13" s="28" t="e">
        <f>1/((1/Data!E16)-(1/Data!$E$28))/Time_scale</f>
        <v>#NUM!</v>
      </c>
      <c r="X13" s="28">
        <f>1/((1/Data!E16)-(1/Data!$E$29))/Time_scale</f>
        <v>1.893152200027642</v>
      </c>
      <c r="Y13" s="28">
        <f>1/((1/Data!E16)-(1/Data!$E$30))/Time_scale</f>
        <v>1.8926852686006506</v>
      </c>
      <c r="Z13" s="28">
        <f>1/((1/Data!E16)-(1/Data!$E$31))/Time_scale</f>
        <v>1.8925001968771906</v>
      </c>
      <c r="AA13" s="28">
        <f>1/((1/Data!E16)-(1/Data!$E$32))/Time_scale</f>
        <v>1.8924744386373384</v>
      </c>
      <c r="AB13" s="28" t="e">
        <f>1/((1/Data!E16)-(1/Data!$E$33))/Time_scale</f>
        <v>#NUM!</v>
      </c>
      <c r="AC13" s="28" t="e">
        <f>1/((1/Data!E16)-(1/Data!$E$34))/Time_scale</f>
        <v>#NUM!</v>
      </c>
      <c r="AD13" s="28" t="e">
        <f>1/((1/Data!E16)-(1/Data!$E$35))/Time_scale</f>
        <v>#NUM!</v>
      </c>
      <c r="AE13" s="28" t="e">
        <f>1/((1/Data!E16)-(1/Data!$E$36))/Time_scale</f>
        <v>#NUM!</v>
      </c>
      <c r="AF13" s="19" t="str">
        <f>Data!A16</f>
        <v>Tethys (SIII)</v>
      </c>
    </row>
    <row r="14" spans="1:32" ht="12.75">
      <c r="A14" s="3" t="str">
        <f>Data!A17</f>
        <v>Telesto (SXIII)</v>
      </c>
      <c r="B14" s="29">
        <f>(PI()*SQRT(((1+(Data!$D17/Data!$D$7))/2)^3))*Data!$H$7/Time_scale</f>
        <v>0.5849463402067604</v>
      </c>
      <c r="C14" s="29">
        <f>(PI()*SQRT(((1+(Data!$D17/Data!$D$8))/2)^3))*Data!$H$8/Time_scale</f>
        <v>0.5933400696776503</v>
      </c>
      <c r="D14" s="29">
        <f>(PI()*SQRT(((1+(Data!$D17/Data!$D$9))/2)^3))*Data!$H$9/Time_scale</f>
        <v>0.5968081237738888</v>
      </c>
      <c r="E14" s="29">
        <f>(PI()*SQRT(((1+(Data!$D17/Data!$D$10))/2)^3))*Data!$H$10/Time_scale</f>
        <v>0.6016556765196007</v>
      </c>
      <c r="F14" s="29">
        <f>(PI()*SQRT(((1+(Data!$D17/Data!$D$11))/2)^3))*Data!$H$11/Time_scale</f>
        <v>0.6218743838382217</v>
      </c>
      <c r="G14" s="29">
        <f>(PI()*SQRT(((1+(Data!$D17/Data!$D$12))/2)^3))*Data!$H$12/Time_scale</f>
        <v>0.6219789428334609</v>
      </c>
      <c r="H14" s="29">
        <f>(PI()*SQRT(((1+(Data!$D17/Data!$D$13))/2)^3))*Data!$H$13/Time_scale</f>
        <v>0.6945231396541239</v>
      </c>
      <c r="I14" s="29">
        <f>(PI()*SQRT(((1+(Data!$D17/Data!$D$14))/2)^3))*Data!$H$14/Time_scale</f>
        <v>0.8114844564032289</v>
      </c>
      <c r="J14" s="29">
        <f>(PI()*SQRT(((1+(Data!$D17/Data!$D$15))/2)^3))*Data!$H$15/Time_scale</f>
        <v>0.9442943456949018</v>
      </c>
      <c r="K14" s="29">
        <f>(PI()*SQRT(((1+(Data!$D17/Data!$D$16))/2)^3))*Data!$H$16/Time_scale</f>
        <v>0.9442943456949018</v>
      </c>
      <c r="L14" s="30"/>
      <c r="M14" s="26">
        <f>1/((1/Data!E17)-(1/Data!$E$18))/Time_scale</f>
        <v>6.0900319942638745</v>
      </c>
      <c r="N14" s="26">
        <f>1/((1/Data!E17)-(1/Data!$E$19))/Time_scale</f>
        <v>6.0900319942638745</v>
      </c>
      <c r="O14" s="26">
        <f>1/((1/Data!E17)-(1/Data!$E$20))/Time_scale</f>
        <v>3.24521312293826</v>
      </c>
      <c r="P14" s="26">
        <f>1/((1/Data!E17)-(1/Data!$E$21))/Time_scale</f>
        <v>2.1423040176544434</v>
      </c>
      <c r="Q14" s="26">
        <f>1/((1/Data!E17)-(1/Data!$E$22))/Time_scale</f>
        <v>2.072495961022011</v>
      </c>
      <c r="R14" s="26">
        <f>1/((1/Data!E17)-(1/Data!$E$23))/Time_scale</f>
        <v>1.934632084744635</v>
      </c>
      <c r="S14" s="26">
        <f>1/((1/Data!E17)-(1/Data!$E$24))/Time_scale</f>
        <v>1.896500834206464</v>
      </c>
      <c r="T14" s="26">
        <f>1/((1/Data!E17)-(1/Data!$E$25))/Time_scale</f>
        <v>1.8964280242394749</v>
      </c>
      <c r="U14" s="26" t="e">
        <f>1/((1/Data!E17)-(1/Data!$E$26))/Time_scale</f>
        <v>#NUM!</v>
      </c>
      <c r="V14" s="26">
        <f>1/((1/Data!E17)-(1/Data!$E$27))/Time_scale</f>
        <v>1.8936999465471225</v>
      </c>
      <c r="W14" s="26" t="e">
        <f>1/((1/Data!E17)-(1/Data!$E$28))/Time_scale</f>
        <v>#NUM!</v>
      </c>
      <c r="X14" s="26">
        <f>1/((1/Data!E17)-(1/Data!$E$29))/Time_scale</f>
        <v>1.893152200027642</v>
      </c>
      <c r="Y14" s="26">
        <f>1/((1/Data!E17)-(1/Data!$E$30))/Time_scale</f>
        <v>1.8926852686006506</v>
      </c>
      <c r="Z14" s="26">
        <f>1/((1/Data!E17)-(1/Data!$E$31))/Time_scale</f>
        <v>1.8925001968771906</v>
      </c>
      <c r="AA14" s="26">
        <f>1/((1/Data!E17)-(1/Data!$E$32))/Time_scale</f>
        <v>1.8924744386373384</v>
      </c>
      <c r="AB14" s="26" t="e">
        <f>1/((1/Data!E17)-(1/Data!$E$33))/Time_scale</f>
        <v>#NUM!</v>
      </c>
      <c r="AC14" s="26" t="e">
        <f>1/((1/Data!E17)-(1/Data!$E$34))/Time_scale</f>
        <v>#NUM!</v>
      </c>
      <c r="AD14" s="26" t="e">
        <f>1/((1/Data!E17)-(1/Data!$E$35))/Time_scale</f>
        <v>#NUM!</v>
      </c>
      <c r="AE14" s="26" t="e">
        <f>1/((1/Data!E17)-(1/Data!$E$36))/Time_scale</f>
        <v>#NUM!</v>
      </c>
      <c r="AF14" s="19" t="str">
        <f>Data!A17</f>
        <v>Telesto (SXIII)</v>
      </c>
    </row>
    <row r="15" spans="1:32" ht="12.75">
      <c r="A15" s="3" t="str">
        <f>Data!A18</f>
        <v>Dione (SIV)</v>
      </c>
      <c r="B15" s="27">
        <f>(PI()*SQRT(((1+(Data!$D18/Data!$D$7))/2)^3))*Data!$H$7/Time_scale</f>
        <v>0.7624130063866758</v>
      </c>
      <c r="C15" s="27">
        <f>(PI()*SQRT(((1+(Data!$D18/Data!$D$8))/2)^3))*Data!$H$8/Time_scale</f>
        <v>0.7715782946336969</v>
      </c>
      <c r="D15" s="27">
        <f>(PI()*SQRT(((1+(Data!$D18/Data!$D$9))/2)^3))*Data!$H$9/Time_scale</f>
        <v>0.7753630999943643</v>
      </c>
      <c r="E15" s="27">
        <f>(PI()*SQRT(((1+(Data!$D18/Data!$D$10))/2)^3))*Data!$H$10/Time_scale</f>
        <v>0.7806514347794572</v>
      </c>
      <c r="F15" s="27">
        <f>(PI()*SQRT(((1+(Data!$D18/Data!$D$11))/2)^3))*Data!$H$11/Time_scale</f>
        <v>0.8026845252829007</v>
      </c>
      <c r="G15" s="27">
        <f>(PI()*SQRT(((1+(Data!$D18/Data!$D$12))/2)^3))*Data!$H$12/Time_scale</f>
        <v>0.8027983684331091</v>
      </c>
      <c r="H15" s="27">
        <f>(PI()*SQRT(((1+(Data!$D18/Data!$D$13))/2)^3))*Data!$H$13/Time_scale</f>
        <v>0.8815574853883849</v>
      </c>
      <c r="I15" s="27">
        <f>(PI()*SQRT(((1+(Data!$D18/Data!$D$14))/2)^3))*Data!$H$14/Time_scale</f>
        <v>1.0077157068400042</v>
      </c>
      <c r="J15" s="27">
        <f>(PI()*SQRT(((1+(Data!$D18/Data!$D$15))/2)^3))*Data!$H$15/Time_scale</f>
        <v>1.1499863630192488</v>
      </c>
      <c r="K15" s="27">
        <f>(PI()*SQRT(((1+(Data!$D18/Data!$D$16))/2)^3))*Data!$H$16/Time_scale</f>
        <v>1.1499863630192488</v>
      </c>
      <c r="L15" s="27">
        <f>(PI()*SQRT(((1+(Data!$D18/Data!$D$17))/2)^3))*Data!$H$17/Time_scale</f>
        <v>1.1499863630192488</v>
      </c>
      <c r="M15" s="30"/>
      <c r="N15" s="28" t="e">
        <f>1/((1/Data!E18)-(1/Data!$E$19))/Time_scale</f>
        <v>#DIV/0!</v>
      </c>
      <c r="O15" s="28">
        <f>1/((1/Data!E18)-(1/Data!$E$20))/Time_scale</f>
        <v>6.9471740173354934</v>
      </c>
      <c r="P15" s="28">
        <f>1/((1/Data!E18)-(1/Data!$E$21))/Time_scale</f>
        <v>3.3048629708678576</v>
      </c>
      <c r="Q15" s="28">
        <f>1/((1/Data!E18)-(1/Data!$E$22))/Time_scale</f>
        <v>3.1416187947471883</v>
      </c>
      <c r="R15" s="28">
        <f>1/((1/Data!E18)-(1/Data!$E$23))/Time_scale</f>
        <v>2.8353399311180536</v>
      </c>
      <c r="S15" s="28">
        <f>1/((1/Data!E18)-(1/Data!$E$24))/Time_scale</f>
        <v>2.754182648617156</v>
      </c>
      <c r="T15" s="28">
        <f>1/((1/Data!E18)-(1/Data!$E$25))/Time_scale</f>
        <v>2.7540290940657974</v>
      </c>
      <c r="U15" s="28" t="e">
        <f>1/((1/Data!E18)-(1/Data!$E$26))/Time_scale</f>
        <v>#NUM!</v>
      </c>
      <c r="V15" s="28">
        <f>1/((1/Data!E18)-(1/Data!$E$27))/Time_scale</f>
        <v>2.748279480953555</v>
      </c>
      <c r="W15" s="28" t="e">
        <f>1/((1/Data!E18)-(1/Data!$E$28))/Time_scale</f>
        <v>#NUM!</v>
      </c>
      <c r="X15" s="28">
        <f>1/((1/Data!E18)-(1/Data!$E$29))/Time_scale</f>
        <v>2.747125968204564</v>
      </c>
      <c r="Y15" s="28">
        <f>1/((1/Data!E18)-(1/Data!$E$30))/Time_scale</f>
        <v>2.746142883640038</v>
      </c>
      <c r="Z15" s="28">
        <f>1/((1/Data!E18)-(1/Data!$E$31))/Time_scale</f>
        <v>2.7457532913290366</v>
      </c>
      <c r="AA15" s="28">
        <f>1/((1/Data!E18)-(1/Data!$E$32))/Time_scale</f>
        <v>2.745699070684375</v>
      </c>
      <c r="AB15" s="28" t="e">
        <f>1/((1/Data!E18)-(1/Data!$E$33))/Time_scale</f>
        <v>#NUM!</v>
      </c>
      <c r="AC15" s="28" t="e">
        <f>1/((1/Data!E18)-(1/Data!$E$34))/Time_scale</f>
        <v>#NUM!</v>
      </c>
      <c r="AD15" s="28" t="e">
        <f>1/((1/Data!E18)-(1/Data!$E$35))/Time_scale</f>
        <v>#NUM!</v>
      </c>
      <c r="AE15" s="28" t="e">
        <f>1/((1/Data!E18)-(1/Data!$E$36))/Time_scale</f>
        <v>#NUM!</v>
      </c>
      <c r="AF15" s="19" t="str">
        <f>Data!A18</f>
        <v>Dione (SIV)</v>
      </c>
    </row>
    <row r="16" spans="1:32" ht="12.75">
      <c r="A16" s="3" t="str">
        <f>Data!A19</f>
        <v>Helene (SXII)</v>
      </c>
      <c r="B16" s="29">
        <f>(PI()*SQRT(((1+(Data!$D19/Data!$D$7))/2)^3))*Data!$H$7/Time_scale</f>
        <v>0.7624130063866758</v>
      </c>
      <c r="C16" s="29">
        <f>(PI()*SQRT(((1+(Data!$D19/Data!$D$8))/2)^3))*Data!$H$8/Time_scale</f>
        <v>0.7715782946336969</v>
      </c>
      <c r="D16" s="29">
        <f>(PI()*SQRT(((1+(Data!$D19/Data!$D$9))/2)^3))*Data!$H$9/Time_scale</f>
        <v>0.7753630999943643</v>
      </c>
      <c r="E16" s="29">
        <f>(PI()*SQRT(((1+(Data!$D19/Data!$D$10))/2)^3))*Data!$H$10/Time_scale</f>
        <v>0.7806514347794572</v>
      </c>
      <c r="F16" s="29">
        <f>(PI()*SQRT(((1+(Data!$D19/Data!$D$11))/2)^3))*Data!$H$11/Time_scale</f>
        <v>0.8026845252829007</v>
      </c>
      <c r="G16" s="29">
        <f>(PI()*SQRT(((1+(Data!$D19/Data!$D$12))/2)^3))*Data!$H$12/Time_scale</f>
        <v>0.8027983684331091</v>
      </c>
      <c r="H16" s="29">
        <f>(PI()*SQRT(((1+(Data!$D19/Data!$D$13))/2)^3))*Data!$H$13/Time_scale</f>
        <v>0.8815574853883849</v>
      </c>
      <c r="I16" s="29">
        <f>(PI()*SQRT(((1+(Data!$D19/Data!$D$14))/2)^3))*Data!$H$14/Time_scale</f>
        <v>1.0077157068400042</v>
      </c>
      <c r="J16" s="29">
        <f>(PI()*SQRT(((1+(Data!$D19/Data!$D$15))/2)^3))*Data!$H$15/Time_scale</f>
        <v>1.1499863630192488</v>
      </c>
      <c r="K16" s="29">
        <f>(PI()*SQRT(((1+(Data!$D19/Data!$D$16))/2)^3))*Data!$H$16/Time_scale</f>
        <v>1.1499863630192488</v>
      </c>
      <c r="L16" s="29">
        <f>(PI()*SQRT(((1+(Data!$D19/Data!$D$17))/2)^3))*Data!$H$17/Time_scale</f>
        <v>1.1499863630192488</v>
      </c>
      <c r="M16" s="29">
        <f>(PI()*SQRT(((1+(Data!$D19/Data!$D$18))/2)^3))*Data!$H$18/Time_scale</f>
        <v>1.3687636278110664</v>
      </c>
      <c r="N16" s="30"/>
      <c r="O16" s="26">
        <f>1/((1/Data!E19)-(1/Data!$E$20))/Time_scale</f>
        <v>6.9471740173354934</v>
      </c>
      <c r="P16" s="26">
        <f>1/((1/Data!E19)-(1/Data!$E$21))/Time_scale</f>
        <v>3.3048629708678576</v>
      </c>
      <c r="Q16" s="26">
        <f>1/((1/Data!E19)-(1/Data!$E$22))/Time_scale</f>
        <v>3.1416187947471883</v>
      </c>
      <c r="R16" s="26">
        <f>1/((1/Data!E19)-(1/Data!$E$23))/Time_scale</f>
        <v>2.8353399311180536</v>
      </c>
      <c r="S16" s="26">
        <f>1/((1/Data!E19)-(1/Data!$E$24))/Time_scale</f>
        <v>2.754182648617156</v>
      </c>
      <c r="T16" s="26">
        <f>1/((1/Data!E19)-(1/Data!$E$25))/Time_scale</f>
        <v>2.7540290940657974</v>
      </c>
      <c r="U16" s="26" t="e">
        <f>1/((1/Data!E19)-(1/Data!$E$26))/Time_scale</f>
        <v>#NUM!</v>
      </c>
      <c r="V16" s="26">
        <f>1/((1/Data!E19)-(1/Data!$E$27))/Time_scale</f>
        <v>2.748279480953555</v>
      </c>
      <c r="W16" s="26" t="e">
        <f>1/((1/Data!E19)-(1/Data!$E$28))/Time_scale</f>
        <v>#NUM!</v>
      </c>
      <c r="X16" s="26">
        <f>1/((1/Data!E19)-(1/Data!$E$29))/Time_scale</f>
        <v>2.747125968204564</v>
      </c>
      <c r="Y16" s="26">
        <f>1/((1/Data!E19)-(1/Data!$E$30))/Time_scale</f>
        <v>2.746142883640038</v>
      </c>
      <c r="Z16" s="26">
        <f>1/((1/Data!E19)-(1/Data!$E$31))/Time_scale</f>
        <v>2.7457532913290366</v>
      </c>
      <c r="AA16" s="26">
        <f>1/((1/Data!E19)-(1/Data!$E$32))/Time_scale</f>
        <v>2.745699070684375</v>
      </c>
      <c r="AB16" s="26" t="e">
        <f>1/((1/Data!E19)-(1/Data!$E$33))/Time_scale</f>
        <v>#NUM!</v>
      </c>
      <c r="AC16" s="26" t="e">
        <f>1/((1/Data!E19)-(1/Data!$E$34))/Time_scale</f>
        <v>#NUM!</v>
      </c>
      <c r="AD16" s="26" t="e">
        <f>1/((1/Data!E19)-(1/Data!$E$35))/Time_scale</f>
        <v>#NUM!</v>
      </c>
      <c r="AE16" s="26" t="e">
        <f>1/((1/Data!E19)-(1/Data!$E$36))/Time_scale</f>
        <v>#NUM!</v>
      </c>
      <c r="AF16" s="19" t="str">
        <f>Data!A19</f>
        <v>Helene (SXII)</v>
      </c>
    </row>
    <row r="17" spans="1:32" ht="12.75">
      <c r="A17" s="3" t="str">
        <f>Data!A20</f>
        <v>Rhea (SV)</v>
      </c>
      <c r="B17" s="27">
        <f>(PI()*SQRT(((1+(Data!$D20/Data!$D$7))/2)^3))*Data!$H$7/Time_scale</f>
        <v>1.1207562094265764</v>
      </c>
      <c r="C17" s="27">
        <f>(PI()*SQRT(((1+(Data!$D20/Data!$D$8))/2)^3))*Data!$H$8/Time_scale</f>
        <v>1.1311727581994264</v>
      </c>
      <c r="D17" s="27">
        <f>(PI()*SQRT(((1+(Data!$D20/Data!$D$9))/2)^3))*Data!$H$9/Time_scale</f>
        <v>1.1354715538254903</v>
      </c>
      <c r="E17" s="27">
        <f>(PI()*SQRT(((1+(Data!$D20/Data!$D$10))/2)^3))*Data!$H$10/Time_scale</f>
        <v>1.141475436253345</v>
      </c>
      <c r="F17" s="27">
        <f>(PI()*SQRT(((1+(Data!$D20/Data!$D$11))/2)^3))*Data!$H$11/Time_scale</f>
        <v>1.1664574770914307</v>
      </c>
      <c r="G17" s="27">
        <f>(PI()*SQRT(((1+(Data!$D20/Data!$D$12))/2)^3))*Data!$H$12/Time_scale</f>
        <v>1.1665864245086406</v>
      </c>
      <c r="H17" s="27">
        <f>(PI()*SQRT(((1+(Data!$D20/Data!$D$13))/2)^3))*Data!$H$13/Time_scale</f>
        <v>1.2554886123566387</v>
      </c>
      <c r="I17" s="27">
        <f>(PI()*SQRT(((1+(Data!$D20/Data!$D$14))/2)^3))*Data!$H$14/Time_scale</f>
        <v>1.3967666696281305</v>
      </c>
      <c r="J17" s="27">
        <f>(PI()*SQRT(((1+(Data!$D20/Data!$D$15))/2)^3))*Data!$H$15/Time_scale</f>
        <v>1.5547141433495177</v>
      </c>
      <c r="K17" s="27">
        <f>(PI()*SQRT(((1+(Data!$D20/Data!$D$16))/2)^3))*Data!$H$16/Time_scale</f>
        <v>1.5547141433495177</v>
      </c>
      <c r="L17" s="27">
        <f>(PI()*SQRT(((1+(Data!$D20/Data!$D$17))/2)^3))*Data!$H$17/Time_scale</f>
        <v>1.5547141433495177</v>
      </c>
      <c r="M17" s="27">
        <f>(PI()*SQRT(((1+(Data!$D20/Data!$D$18))/2)^3))*Data!$H$18/Time_scale</f>
        <v>1.7953546915121987</v>
      </c>
      <c r="N17" s="27">
        <f>(PI()*SQRT(((1+(Data!$D20/Data!$D$19))/2)^3))*Data!$H$19/Time_scale</f>
        <v>1.7953546915121987</v>
      </c>
      <c r="O17" s="30"/>
      <c r="P17" s="28">
        <f>1/((1/Data!E20)-(1/Data!$E$21))/Time_scale</f>
        <v>6.303541314609518</v>
      </c>
      <c r="Q17" s="28">
        <f>1/((1/Data!E20)-(1/Data!$E$22))/Time_scale</f>
        <v>5.735134871698494</v>
      </c>
      <c r="R17" s="28">
        <f>1/((1/Data!E20)-(1/Data!$E$23))/Time_scale</f>
        <v>4.790465638144797</v>
      </c>
      <c r="S17" s="28">
        <f>1/((1/Data!E20)-(1/Data!$E$24))/Time_scale</f>
        <v>4.563278207109199</v>
      </c>
      <c r="T17" s="28">
        <f>1/((1/Data!E20)-(1/Data!$E$25))/Time_scale</f>
        <v>4.562856689999821</v>
      </c>
      <c r="U17" s="28" t="e">
        <f>1/((1/Data!E20)-(1/Data!$E$26))/Time_scale</f>
        <v>#NUM!</v>
      </c>
      <c r="V17" s="28">
        <f>1/((1/Data!E20)-(1/Data!$E$27))/Time_scale</f>
        <v>4.547095821775149</v>
      </c>
      <c r="W17" s="28" t="e">
        <f>1/((1/Data!E20)-(1/Data!$E$28))/Time_scale</f>
        <v>#NUM!</v>
      </c>
      <c r="X17" s="28">
        <f>1/((1/Data!E20)-(1/Data!$E$29))/Time_scale</f>
        <v>4.543939003890054</v>
      </c>
      <c r="Y17" s="28">
        <f>1/((1/Data!E20)-(1/Data!$E$30))/Time_scale</f>
        <v>4.541249965061043</v>
      </c>
      <c r="Z17" s="28">
        <f>1/((1/Data!E20)-(1/Data!$E$31))/Time_scale</f>
        <v>4.540184658361012</v>
      </c>
      <c r="AA17" s="28">
        <f>1/((1/Data!E20)-(1/Data!$E$32))/Time_scale</f>
        <v>4.5400364123281856</v>
      </c>
      <c r="AB17" s="28" t="e">
        <f>1/((1/Data!E20)-(1/Data!$E$33))/Time_scale</f>
        <v>#NUM!</v>
      </c>
      <c r="AC17" s="28" t="e">
        <f>1/((1/Data!E20)-(1/Data!$E$34))/Time_scale</f>
        <v>#NUM!</v>
      </c>
      <c r="AD17" s="28" t="e">
        <f>1/((1/Data!E20)-(1/Data!$E$35))/Time_scale</f>
        <v>#NUM!</v>
      </c>
      <c r="AE17" s="28" t="e">
        <f>1/((1/Data!E20)-(1/Data!$E$36))/Time_scale</f>
        <v>#NUM!</v>
      </c>
      <c r="AF17" s="19" t="str">
        <f>Data!A20</f>
        <v>Rhea (SV)</v>
      </c>
    </row>
    <row r="18" spans="1:32" ht="12.75">
      <c r="A18" s="3" t="str">
        <f>Data!A21</f>
        <v>Titan (SVI)</v>
      </c>
      <c r="B18" s="29">
        <f>(PI()*SQRT(((1+(Data!$D21/Data!$D$7))/2)^3))*Data!$H$7/Time_scale</f>
        <v>3.29373070940762</v>
      </c>
      <c r="C18" s="29">
        <f>(PI()*SQRT(((1+(Data!$D21/Data!$D$8))/2)^3))*Data!$H$8/Time_scale</f>
        <v>3.308639397723805</v>
      </c>
      <c r="D18" s="29">
        <f>(PI()*SQRT(((1+(Data!$D21/Data!$D$9))/2)^3))*Data!$H$9/Time_scale</f>
        <v>3.314785219482587</v>
      </c>
      <c r="E18" s="29">
        <f>(PI()*SQRT(((1+(Data!$D21/Data!$D$10))/2)^3))*Data!$H$10/Time_scale</f>
        <v>3.3233621193180807</v>
      </c>
      <c r="F18" s="29">
        <f>(PI()*SQRT(((1+(Data!$D21/Data!$D$11))/2)^3))*Data!$H$11/Time_scale</f>
        <v>3.358968872237794</v>
      </c>
      <c r="G18" s="29">
        <f>(PI()*SQRT(((1+(Data!$D21/Data!$D$12))/2)^3))*Data!$H$12/Time_scale</f>
        <v>3.3591523236061707</v>
      </c>
      <c r="H18" s="29">
        <f>(PI()*SQRT(((1+(Data!$D21/Data!$D$13))/2)^3))*Data!$H$13/Time_scale</f>
        <v>3.4848476393695913</v>
      </c>
      <c r="I18" s="29">
        <f>(PI()*SQRT(((1+(Data!$D21/Data!$D$14))/2)^3))*Data!$H$14/Time_scale</f>
        <v>3.681653990808064</v>
      </c>
      <c r="J18" s="29">
        <f>(PI()*SQRT(((1+(Data!$D21/Data!$D$15))/2)^3))*Data!$H$15/Time_scale</f>
        <v>3.8979830400778477</v>
      </c>
      <c r="K18" s="29">
        <f>(PI()*SQRT(((1+(Data!$D21/Data!$D$16))/2)^3))*Data!$H$16/Time_scale</f>
        <v>3.8979830400778477</v>
      </c>
      <c r="L18" s="29">
        <f>(PI()*SQRT(((1+(Data!$D21/Data!$D$17))/2)^3))*Data!$H$17/Time_scale</f>
        <v>3.8979830400778477</v>
      </c>
      <c r="M18" s="29">
        <f>(PI()*SQRT(((1+(Data!$D21/Data!$D$18))/2)^3))*Data!$H$18/Time_scale</f>
        <v>4.221307711426673</v>
      </c>
      <c r="N18" s="29">
        <f>(PI()*SQRT(((1+(Data!$D21/Data!$D$19))/2)^3))*Data!$H$19/Time_scale</f>
        <v>4.221307711426673</v>
      </c>
      <c r="O18" s="29">
        <f>(PI()*SQRT(((1+(Data!$D21/Data!$D$20))/2)^3))*Data!$H$20/Time_scale</f>
        <v>4.82744029126903</v>
      </c>
      <c r="P18" s="30"/>
      <c r="Q18" s="26">
        <f>1/((1/Data!E21)-(1/Data!$E$22))/Time_scale</f>
        <v>63.60177661509773</v>
      </c>
      <c r="R18" s="26">
        <f>1/((1/Data!E21)-(1/Data!$E$23))/Time_scale</f>
        <v>19.957295286655853</v>
      </c>
      <c r="S18" s="26">
        <f>1/((1/Data!E21)-(1/Data!$E$24))/Time_scale</f>
        <v>16.52900218627706</v>
      </c>
      <c r="T18" s="26">
        <f>1/((1/Data!E21)-(1/Data!$E$25))/Time_scale</f>
        <v>16.523473150402218</v>
      </c>
      <c r="U18" s="26" t="e">
        <f>1/((1/Data!E21)-(1/Data!$E$26))/Time_scale</f>
        <v>#NUM!</v>
      </c>
      <c r="V18" s="26">
        <f>1/((1/Data!E21)-(1/Data!$E$27))/Time_scale</f>
        <v>16.318642674071782</v>
      </c>
      <c r="W18" s="26" t="e">
        <f>1/((1/Data!E21)-(1/Data!$E$28))/Time_scale</f>
        <v>#NUM!</v>
      </c>
      <c r="X18" s="26">
        <f>1/((1/Data!E21)-(1/Data!$E$29))/Time_scale</f>
        <v>16.278057301695128</v>
      </c>
      <c r="Y18" s="26">
        <f>1/((1/Data!E21)-(1/Data!$E$30))/Time_scale</f>
        <v>16.243600572666775</v>
      </c>
      <c r="Z18" s="26">
        <f>1/((1/Data!E21)-(1/Data!$E$31))/Time_scale</f>
        <v>16.22997903941997</v>
      </c>
      <c r="AA18" s="26">
        <f>1/((1/Data!E21)-(1/Data!$E$32))/Time_scale</f>
        <v>16.228084797451178</v>
      </c>
      <c r="AB18" s="26" t="e">
        <f>1/((1/Data!E21)-(1/Data!$E$33))/Time_scale</f>
        <v>#NUM!</v>
      </c>
      <c r="AC18" s="26" t="e">
        <f>1/((1/Data!E21)-(1/Data!$E$34))/Time_scale</f>
        <v>#NUM!</v>
      </c>
      <c r="AD18" s="26" t="e">
        <f>1/((1/Data!E21)-(1/Data!$E$35))/Time_scale</f>
        <v>#NUM!</v>
      </c>
      <c r="AE18" s="26" t="e">
        <f>1/((1/Data!E21)-(1/Data!$E$36))/Time_scale</f>
        <v>#NUM!</v>
      </c>
      <c r="AF18" s="19" t="str">
        <f>Data!A21</f>
        <v>Titan (SVI)</v>
      </c>
    </row>
    <row r="19" spans="1:32" ht="12.75">
      <c r="A19" s="3" t="str">
        <f>Data!A22</f>
        <v>Hyperion (SVII)</v>
      </c>
      <c r="B19" s="27">
        <f>(PI()*SQRT(((1+(Data!$D22/Data!$D$7))/2)^3))*Data!$H$7/Time_scale</f>
        <v>4.282639598105457</v>
      </c>
      <c r="C19" s="27">
        <f>(PI()*SQRT(((1+(Data!$D22/Data!$D$8))/2)^3))*Data!$H$8/Time_scale</f>
        <v>4.298909868303601</v>
      </c>
      <c r="D19" s="27">
        <f>(PI()*SQRT(((1+(Data!$D22/Data!$D$9))/2)^3))*Data!$H$9/Time_scale</f>
        <v>4.305615835350505</v>
      </c>
      <c r="E19" s="27">
        <f>(PI()*SQRT(((1+(Data!$D22/Data!$D$10))/2)^3))*Data!$H$10/Time_scale</f>
        <v>4.3149733469582126</v>
      </c>
      <c r="F19" s="27">
        <f>(PI()*SQRT(((1+(Data!$D22/Data!$D$11))/2)^3))*Data!$H$11/Time_scale</f>
        <v>4.353807095320659</v>
      </c>
      <c r="G19" s="27">
        <f>(PI()*SQRT(((1+(Data!$D22/Data!$D$12))/2)^3))*Data!$H$12/Time_scale</f>
        <v>4.354007115922142</v>
      </c>
      <c r="H19" s="27">
        <f>(PI()*SQRT(((1+(Data!$D22/Data!$D$13))/2)^3))*Data!$H$13/Time_scale</f>
        <v>4.490921902690892</v>
      </c>
      <c r="I19" s="27">
        <f>(PI()*SQRT(((1+(Data!$D22/Data!$D$14))/2)^3))*Data!$H$14/Time_scale</f>
        <v>4.704786370124809</v>
      </c>
      <c r="J19" s="27">
        <f>(PI()*SQRT(((1+(Data!$D22/Data!$D$15))/2)^3))*Data!$H$15/Time_scale</f>
        <v>4.939204666783164</v>
      </c>
      <c r="K19" s="27">
        <f>(PI()*SQRT(((1+(Data!$D22/Data!$D$16))/2)^3))*Data!$H$16/Time_scale</f>
        <v>4.939204666783164</v>
      </c>
      <c r="L19" s="27">
        <f>(PI()*SQRT(((1+(Data!$D22/Data!$D$17))/2)^3))*Data!$H$17/Time_scale</f>
        <v>4.939204666783164</v>
      </c>
      <c r="M19" s="27">
        <f>(PI()*SQRT(((1+(Data!$D22/Data!$D$18))/2)^3))*Data!$H$18/Time_scale</f>
        <v>5.2884020764130275</v>
      </c>
      <c r="N19" s="27">
        <f>(PI()*SQRT(((1+(Data!$D22/Data!$D$19))/2)^3))*Data!$H$19/Time_scale</f>
        <v>5.2884020764130275</v>
      </c>
      <c r="O19" s="27">
        <f>(PI()*SQRT(((1+(Data!$D22/Data!$D$20))/2)^3))*Data!$H$20/Time_scale</f>
        <v>5.939796953799645</v>
      </c>
      <c r="P19" s="27">
        <f>(PI()*SQRT(((1+(Data!$D22/Data!$D$21))/2)^3))*Data!$H$21/Time_scale</f>
        <v>9.275403613878831</v>
      </c>
      <c r="Q19" s="30"/>
      <c r="R19" s="28">
        <f>1/((1/Data!E22)-(1/Data!$E$23))/Time_scale</f>
        <v>29.083160070371793</v>
      </c>
      <c r="S19" s="28">
        <f>1/((1/Data!E22)-(1/Data!$E$24))/Time_scale</f>
        <v>22.332949724722518</v>
      </c>
      <c r="T19" s="28">
        <f>1/((1/Data!E22)-(1/Data!$E$25))/Time_scale</f>
        <v>22.32285725855742</v>
      </c>
      <c r="U19" s="28" t="e">
        <f>1/((1/Data!E22)-(1/Data!$E$26))/Time_scale</f>
        <v>#NUM!</v>
      </c>
      <c r="V19" s="28">
        <f>1/((1/Data!E22)-(1/Data!$E$27))/Time_scale</f>
        <v>21.950631853473002</v>
      </c>
      <c r="W19" s="28" t="e">
        <f>1/((1/Data!E22)-(1/Data!$E$28))/Time_scale</f>
        <v>#NUM!</v>
      </c>
      <c r="X19" s="28">
        <f>1/((1/Data!E22)-(1/Data!$E$29))/Time_scale</f>
        <v>21.87726111241983</v>
      </c>
      <c r="Y19" s="28">
        <f>1/((1/Data!E22)-(1/Data!$E$30))/Time_scale</f>
        <v>21.81506851366048</v>
      </c>
      <c r="Z19" s="28">
        <f>1/((1/Data!E22)-(1/Data!$E$31))/Time_scale</f>
        <v>21.79050730941444</v>
      </c>
      <c r="AA19" s="28">
        <f>1/((1/Data!E22)-(1/Data!$E$32))/Time_scale</f>
        <v>21.787092890106706</v>
      </c>
      <c r="AB19" s="28" t="e">
        <f>1/((1/Data!E22)-(1/Data!$E$33))/Time_scale</f>
        <v>#NUM!</v>
      </c>
      <c r="AC19" s="28" t="e">
        <f>1/((1/Data!E22)-(1/Data!$E$34))/Time_scale</f>
        <v>#NUM!</v>
      </c>
      <c r="AD19" s="28" t="e">
        <f>1/((1/Data!E22)-(1/Data!$E$35))/Time_scale</f>
        <v>#NUM!</v>
      </c>
      <c r="AE19" s="28" t="e">
        <f>1/((1/Data!E22)-(1/Data!$E$36))/Time_scale</f>
        <v>#NUM!</v>
      </c>
      <c r="AF19" s="19" t="str">
        <f>Data!A22</f>
        <v>Hyperion (SVII)</v>
      </c>
    </row>
    <row r="20" spans="1:32" ht="12.75">
      <c r="A20" s="3" t="str">
        <f>Data!A23</f>
        <v>Iapetus (SVIII)</v>
      </c>
      <c r="B20" s="29">
        <f>(PI()*SQRT(((1+(Data!$D23/Data!$D$7))/2)^3))*Data!$H$7/Time_scale</f>
        <v>14.82455464150827</v>
      </c>
      <c r="C20" s="29">
        <f>(PI()*SQRT(((1+(Data!$D23/Data!$D$8))/2)^3))*Data!$H$8/Time_scale</f>
        <v>14.8491581429663</v>
      </c>
      <c r="D20" s="29">
        <f>(PI()*SQRT(((1+(Data!$D23/Data!$D$9))/2)^3))*Data!$H$9/Time_scale</f>
        <v>14.859293657296314</v>
      </c>
      <c r="E20" s="29">
        <f>(PI()*SQRT(((1+(Data!$D23/Data!$D$10))/2)^3))*Data!$H$10/Time_scale</f>
        <v>14.873431820668134</v>
      </c>
      <c r="F20" s="29">
        <f>(PI()*SQRT(((1+(Data!$D23/Data!$D$11))/2)^3))*Data!$H$11/Time_scale</f>
        <v>14.932044177659758</v>
      </c>
      <c r="G20" s="29">
        <f>(PI()*SQRT(((1+(Data!$D23/Data!$D$12))/2)^3))*Data!$H$12/Time_scale</f>
        <v>14.932345818096024</v>
      </c>
      <c r="H20" s="29">
        <f>(PI()*SQRT(((1+(Data!$D23/Data!$D$13))/2)^3))*Data!$H$13/Time_scale</f>
        <v>15.138221782555442</v>
      </c>
      <c r="I20" s="29">
        <f>(PI()*SQRT(((1+(Data!$D23/Data!$D$14))/2)^3))*Data!$H$14/Time_scale</f>
        <v>15.457506209776335</v>
      </c>
      <c r="J20" s="29">
        <f>(PI()*SQRT(((1+(Data!$D23/Data!$D$15))/2)^3))*Data!$H$15/Time_scale</f>
        <v>15.804450443856325</v>
      </c>
      <c r="K20" s="29">
        <f>(PI()*SQRT(((1+(Data!$D23/Data!$D$16))/2)^3))*Data!$H$16/Time_scale</f>
        <v>15.804450443856325</v>
      </c>
      <c r="L20" s="29">
        <f>(PI()*SQRT(((1+(Data!$D23/Data!$D$17))/2)^3))*Data!$H$17/Time_scale</f>
        <v>15.804450443856325</v>
      </c>
      <c r="M20" s="29">
        <f>(PI()*SQRT(((1+(Data!$D23/Data!$D$18))/2)^3))*Data!$H$18/Time_scale</f>
        <v>16.315860125817643</v>
      </c>
      <c r="N20" s="29">
        <f>(PI()*SQRT(((1+(Data!$D23/Data!$D$19))/2)^3))*Data!$H$19/Time_scale</f>
        <v>16.315860125817643</v>
      </c>
      <c r="O20" s="29">
        <f>(PI()*SQRT(((1+(Data!$D23/Data!$D$20))/2)^3))*Data!$H$20/Time_scale</f>
        <v>17.254450301596346</v>
      </c>
      <c r="P20" s="29">
        <f>(PI()*SQRT(((1+(Data!$D23/Data!$D$21))/2)^3))*Data!$H$21/Time_scale</f>
        <v>21.834783793163453</v>
      </c>
      <c r="Q20" s="29">
        <f>(PI()*SQRT(((1+(Data!$D23/Data!$D$22))/2)^3))*Data!$H$22/Time_scale</f>
        <v>23.6339634799369</v>
      </c>
      <c r="R20" s="30"/>
      <c r="S20" s="26">
        <f>1/((1/Data!E23)-(1/Data!$E$24))/Time_scale</f>
        <v>96.22111288817872</v>
      </c>
      <c r="T20" s="26">
        <f>1/((1/Data!E23)-(1/Data!$E$25))/Time_scale</f>
        <v>96.03404595192163</v>
      </c>
      <c r="U20" s="26" t="e">
        <f>1/((1/Data!E23)-(1/Data!$E$26))/Time_scale</f>
        <v>#NUM!</v>
      </c>
      <c r="V20" s="26">
        <f>1/((1/Data!E23)-(1/Data!$E$27))/Time_scale</f>
        <v>89.50455160175022</v>
      </c>
      <c r="W20" s="26" t="e">
        <f>1/((1/Data!E23)-(1/Data!$E$28))/Time_scale</f>
        <v>#NUM!</v>
      </c>
      <c r="X20" s="26">
        <f>1/((1/Data!E23)-(1/Data!$E$29))/Time_scale</f>
        <v>88.29708694869929</v>
      </c>
      <c r="Y20" s="26">
        <f>1/((1/Data!E23)-(1/Data!$E$30))/Time_scale</f>
        <v>87.29267161515976</v>
      </c>
      <c r="Z20" s="26">
        <f>1/((1/Data!E23)-(1/Data!$E$31))/Time_scale</f>
        <v>86.9007249991582</v>
      </c>
      <c r="AA20" s="26">
        <f>1/((1/Data!E23)-(1/Data!$E$32))/Time_scale</f>
        <v>86.84644676860151</v>
      </c>
      <c r="AB20" s="26" t="e">
        <f>1/((1/Data!E23)-(1/Data!$E$33))/Time_scale</f>
        <v>#NUM!</v>
      </c>
      <c r="AC20" s="26" t="e">
        <f>1/((1/Data!E23)-(1/Data!$E$34))/Time_scale</f>
        <v>#NUM!</v>
      </c>
      <c r="AD20" s="26" t="e">
        <f>1/((1/Data!E23)-(1/Data!$E$35))/Time_scale</f>
        <v>#NUM!</v>
      </c>
      <c r="AE20" s="26" t="e">
        <f>1/((1/Data!E23)-(1/Data!$E$36))/Time_scale</f>
        <v>#NUM!</v>
      </c>
      <c r="AF20" s="19" t="str">
        <f>Data!A23</f>
        <v>Iapetus (SVIII)</v>
      </c>
    </row>
    <row r="21" spans="1:32" ht="12.75">
      <c r="A21" s="3" t="str">
        <f>Data!A24</f>
        <v>S/2000 S 5</v>
      </c>
      <c r="B21" s="27">
        <f>(PI()*SQRT(((1+(Data!$D24/Data!$D$7))/2)^3))*Data!$H$7/Time_scale</f>
        <v>81.43860286354484</v>
      </c>
      <c r="C21" s="27">
        <f>(PI()*SQRT(((1+(Data!$D24/Data!$D$8))/2)^3))*Data!$H$8/Time_scale</f>
        <v>81.48200705305013</v>
      </c>
      <c r="D21" s="27">
        <f>(PI()*SQRT(((1+(Data!$D24/Data!$D$9))/2)^3))*Data!$H$9/Time_scale</f>
        <v>81.49988285654392</v>
      </c>
      <c r="E21" s="27">
        <f>(PI()*SQRT(((1+(Data!$D24/Data!$D$10))/2)^3))*Data!$H$10/Time_scale</f>
        <v>81.52481344685405</v>
      </c>
      <c r="F21" s="27">
        <f>(PI()*SQRT(((1+(Data!$D24/Data!$D$11))/2)^3))*Data!$H$11/Time_scale</f>
        <v>81.62811072963868</v>
      </c>
      <c r="G21" s="27">
        <f>(PI()*SQRT(((1+(Data!$D24/Data!$D$12))/2)^3))*Data!$H$12/Time_scale</f>
        <v>81.6286420976371</v>
      </c>
      <c r="H21" s="27">
        <f>(PI()*SQRT(((1+(Data!$D24/Data!$D$13))/2)^3))*Data!$H$13/Time_scale</f>
        <v>81.99075003682428</v>
      </c>
      <c r="I21" s="27">
        <f>(PI()*SQRT(((1+(Data!$D24/Data!$D$14))/2)^3))*Data!$H$14/Time_scale</f>
        <v>82.55014500624966</v>
      </c>
      <c r="J21" s="27">
        <f>(PI()*SQRT(((1+(Data!$D24/Data!$D$15))/2)^3))*Data!$H$15/Time_scale</f>
        <v>83.1550723511744</v>
      </c>
      <c r="K21" s="27">
        <f>(PI()*SQRT(((1+(Data!$D24/Data!$D$16))/2)^3))*Data!$H$16/Time_scale</f>
        <v>83.1550723511744</v>
      </c>
      <c r="L21" s="27">
        <f>(PI()*SQRT(((1+(Data!$D24/Data!$D$17))/2)^3))*Data!$H$17/Time_scale</f>
        <v>83.1550723511744</v>
      </c>
      <c r="M21" s="27">
        <f>(PI()*SQRT(((1+(Data!$D24/Data!$D$18))/2)^3))*Data!$H$18/Time_scale</f>
        <v>84.04139528091636</v>
      </c>
      <c r="N21" s="27">
        <f>(PI()*SQRT(((1+(Data!$D24/Data!$D$19))/2)^3))*Data!$H$19/Time_scale</f>
        <v>84.04139528091636</v>
      </c>
      <c r="O21" s="27">
        <f>(PI()*SQRT(((1+(Data!$D24/Data!$D$20))/2)^3))*Data!$H$20/Time_scale</f>
        <v>85.65229450066674</v>
      </c>
      <c r="P21" s="27">
        <f>(PI()*SQRT(((1+(Data!$D24/Data!$D$21))/2)^3))*Data!$H$21/Time_scale</f>
        <v>93.26396962168728</v>
      </c>
      <c r="Q21" s="27">
        <f>(PI()*SQRT(((1+(Data!$D24/Data!$D$22))/2)^3))*Data!$H$22/Time_scale</f>
        <v>96.15925135452011</v>
      </c>
      <c r="R21" s="27">
        <f>(PI()*SQRT(((1+(Data!$D24/Data!$D$23))/2)^3))*Data!$H$23/Time_scale</f>
        <v>120.42788274308464</v>
      </c>
      <c r="S21" s="30"/>
      <c r="T21" s="28">
        <f>1/((1/Data!E24)-(1/Data!$E$25))/Time_scale</f>
        <v>49396.77188035641</v>
      </c>
      <c r="U21" s="28" t="e">
        <f>1/((1/Data!E24)-(1/Data!$E$26))/Time_scale</f>
        <v>#NUM!</v>
      </c>
      <c r="V21" s="28">
        <f>1/((1/Data!E24)-(1/Data!$E$27))/Time_scale</f>
        <v>1282.237620771765</v>
      </c>
      <c r="W21" s="28" t="e">
        <f>1/((1/Data!E24)-(1/Data!$E$28))/Time_scale</f>
        <v>#NUM!</v>
      </c>
      <c r="X21" s="28">
        <f>1/((1/Data!E24)-(1/Data!$E$29))/Time_scale</f>
        <v>1072.1878040124484</v>
      </c>
      <c r="Y21" s="28">
        <f>1/((1/Data!E24)-(1/Data!$E$30))/Time_scale</f>
        <v>940.7462907523754</v>
      </c>
      <c r="Z21" s="28">
        <f>1/((1/Data!E24)-(1/Data!$E$31))/Time_scale</f>
        <v>897.1391072745683</v>
      </c>
      <c r="AA21" s="28">
        <f>1/((1/Data!E24)-(1/Data!$E$32))/Time_scale</f>
        <v>891.3876667039831</v>
      </c>
      <c r="AB21" s="28" t="e">
        <f>1/((1/Data!E24)-(1/Data!$E$33))/Time_scale</f>
        <v>#NUM!</v>
      </c>
      <c r="AC21" s="28" t="e">
        <f>1/((1/Data!E24)-(1/Data!$E$34))/Time_scale</f>
        <v>#NUM!</v>
      </c>
      <c r="AD21" s="28" t="e">
        <f>1/((1/Data!E24)-(1/Data!$E$35))/Time_scale</f>
        <v>#NUM!</v>
      </c>
      <c r="AE21" s="28" t="e">
        <f>1/((1/Data!E24)-(1/Data!$E$36))/Time_scale</f>
        <v>#NUM!</v>
      </c>
      <c r="AF21" s="19" t="str">
        <f>Data!A24</f>
        <v>S/2000 S 5</v>
      </c>
    </row>
    <row r="22" spans="1:32" ht="12.75">
      <c r="A22" s="3" t="str">
        <f>Data!A25</f>
        <v>S/2000 S 6</v>
      </c>
      <c r="B22" s="29">
        <f>(PI()*SQRT(((1+(Data!$D25/Data!$D$7))/2)^3))*Data!$H$7/Time_scale</f>
        <v>82.18307078778132</v>
      </c>
      <c r="C22" s="29">
        <f>(PI()*SQRT(((1+(Data!$D25/Data!$D$8))/2)^3))*Data!$H$8/Time_scale</f>
        <v>82.2266068121787</v>
      </c>
      <c r="D22" s="29">
        <f>(PI()*SQRT(((1+(Data!$D25/Data!$D$9))/2)^3))*Data!$H$9/Time_scale</f>
        <v>82.2445368976384</v>
      </c>
      <c r="E22" s="29">
        <f>(PI()*SQRT(((1+(Data!$D25/Data!$D$10))/2)^3))*Data!$H$10/Time_scale</f>
        <v>82.26954317936631</v>
      </c>
      <c r="F22" s="29">
        <f>(PI()*SQRT(((1+(Data!$D25/Data!$D$11))/2)^3))*Data!$H$11/Time_scale</f>
        <v>82.37315391751714</v>
      </c>
      <c r="G22" s="29">
        <f>(PI()*SQRT(((1+(Data!$D25/Data!$D$12))/2)^3))*Data!$H$12/Time_scale</f>
        <v>82.3736868972677</v>
      </c>
      <c r="H22" s="29">
        <f>(PI()*SQRT(((1+(Data!$D25/Data!$D$13))/2)^3))*Data!$H$13/Time_scale</f>
        <v>82.73689156679903</v>
      </c>
      <c r="I22" s="29">
        <f>(PI()*SQRT(((1+(Data!$D25/Data!$D$14))/2)^3))*Data!$H$14/Time_scale</f>
        <v>83.29797447737208</v>
      </c>
      <c r="J22" s="29">
        <f>(PI()*SQRT(((1+(Data!$D25/Data!$D$15))/2)^3))*Data!$H$15/Time_scale</f>
        <v>83.90471860762695</v>
      </c>
      <c r="K22" s="29">
        <f>(PI()*SQRT(((1+(Data!$D25/Data!$D$16))/2)^3))*Data!$H$16/Time_scale</f>
        <v>83.90471860762695</v>
      </c>
      <c r="L22" s="29">
        <f>(PI()*SQRT(((1+(Data!$D25/Data!$D$17))/2)^3))*Data!$H$17/Time_scale</f>
        <v>83.90471860762695</v>
      </c>
      <c r="M22" s="29">
        <f>(PI()*SQRT(((1+(Data!$D25/Data!$D$18))/2)^3))*Data!$H$18/Time_scale</f>
        <v>84.7936876205749</v>
      </c>
      <c r="N22" s="29">
        <f>(PI()*SQRT(((1+(Data!$D25/Data!$D$19))/2)^3))*Data!$H$19/Time_scale</f>
        <v>84.7936876205749</v>
      </c>
      <c r="O22" s="29">
        <f>(PI()*SQRT(((1+(Data!$D25/Data!$D$20))/2)^3))*Data!$H$20/Time_scale</f>
        <v>86.40934894368665</v>
      </c>
      <c r="P22" s="29">
        <f>(PI()*SQRT(((1+(Data!$D25/Data!$D$21))/2)^3))*Data!$H$21/Time_scale</f>
        <v>94.04275348765276</v>
      </c>
      <c r="Q22" s="29">
        <f>(PI()*SQRT(((1+(Data!$D25/Data!$D$22))/2)^3))*Data!$H$22/Time_scale</f>
        <v>96.94599008952696</v>
      </c>
      <c r="R22" s="29">
        <f>(PI()*SQRT(((1+(Data!$D25/Data!$D$23))/2)^3))*Data!$H$23/Time_scale</f>
        <v>121.27574839583956</v>
      </c>
      <c r="S22" s="29">
        <f>(PI()*SQRT(((1+(Data!$D25/Data!$D$24))/2)^3))*Data!$H$24/Time_scale</f>
        <v>227.38852620494077</v>
      </c>
      <c r="T22" s="30"/>
      <c r="U22" s="26" t="e">
        <f>1/((1/Data!E25)-(1/Data!$E$26))/Time_scale</f>
        <v>#NUM!</v>
      </c>
      <c r="V22" s="26">
        <f>1/((1/Data!E25)-(1/Data!$E$27))/Time_scale</f>
        <v>1316.4088611552243</v>
      </c>
      <c r="W22" s="26" t="e">
        <f>1/((1/Data!E25)-(1/Data!$E$28))/Time_scale</f>
        <v>#NUM!</v>
      </c>
      <c r="X22" s="26">
        <f>1/((1/Data!E25)-(1/Data!$E$29))/Time_scale</f>
        <v>1095.9766623967625</v>
      </c>
      <c r="Y22" s="26">
        <f>1/((1/Data!E25)-(1/Data!$E$30))/Time_scale</f>
        <v>959.0103471374335</v>
      </c>
      <c r="Z22" s="26">
        <f>1/((1/Data!E25)-(1/Data!$E$31))/Time_scale</f>
        <v>913.734255150577</v>
      </c>
      <c r="AA22" s="26">
        <f>1/((1/Data!E25)-(1/Data!$E$32))/Time_scale</f>
        <v>907.7687754248645</v>
      </c>
      <c r="AB22" s="26" t="e">
        <f>1/((1/Data!E25)-(1/Data!$E$33))/Time_scale</f>
        <v>#NUM!</v>
      </c>
      <c r="AC22" s="26" t="e">
        <f>1/((1/Data!E25)-(1/Data!$E$34))/Time_scale</f>
        <v>#NUM!</v>
      </c>
      <c r="AD22" s="26" t="e">
        <f>1/((1/Data!E25)-(1/Data!$E$35))/Time_scale</f>
        <v>#NUM!</v>
      </c>
      <c r="AE22" s="26" t="e">
        <f>1/((1/Data!E25)-(1/Data!$E$36))/Time_scale</f>
        <v>#NUM!</v>
      </c>
      <c r="AF22" s="19" t="str">
        <f>Data!A25</f>
        <v>S/2000 S 6</v>
      </c>
    </row>
    <row r="23" spans="1:32" ht="12.75">
      <c r="A23" s="3" t="str">
        <f>Data!A26</f>
        <v>Phoebe (S IX)</v>
      </c>
      <c r="B23" s="27" t="e">
        <f>(PI()*SQRT(((1+(Data!$D26/Data!$D$7))/2)^3))*Data!$H$7/Time_scale</f>
        <v>#NUM!</v>
      </c>
      <c r="C23" s="27" t="e">
        <f>(PI()*SQRT(((1+(Data!$D26/Data!$D$8))/2)^3))*Data!$H$8/Time_scale</f>
        <v>#NUM!</v>
      </c>
      <c r="D23" s="27" t="e">
        <f>(PI()*SQRT(((1+(Data!$D26/Data!$D$9))/2)^3))*Data!$H$9/Time_scale</f>
        <v>#NUM!</v>
      </c>
      <c r="E23" s="27" t="e">
        <f>(PI()*SQRT(((1+(Data!$D26/Data!$D$10))/2)^3))*Data!$H$10/Time_scale</f>
        <v>#NUM!</v>
      </c>
      <c r="F23" s="27" t="e">
        <f>(PI()*SQRT(((1+(Data!$D26/Data!$D$11))/2)^3))*Data!$H$11/Time_scale</f>
        <v>#NUM!</v>
      </c>
      <c r="G23" s="27" t="e">
        <f>(PI()*SQRT(((1+(Data!$D26/Data!$D$12))/2)^3))*Data!$H$12/Time_scale</f>
        <v>#NUM!</v>
      </c>
      <c r="H23" s="27" t="e">
        <f>(PI()*SQRT(((1+(Data!$D26/Data!$D$13))/2)^3))*Data!$H$13/Time_scale</f>
        <v>#NUM!</v>
      </c>
      <c r="I23" s="27" t="e">
        <f>(PI()*SQRT(((1+(Data!$D26/Data!$D$14))/2)^3))*Data!$H$14/Time_scale</f>
        <v>#NUM!</v>
      </c>
      <c r="J23" s="27" t="e">
        <f>(PI()*SQRT(((1+(Data!$D26/Data!$D$15))/2)^3))*Data!$H$15/Time_scale</f>
        <v>#NUM!</v>
      </c>
      <c r="K23" s="27" t="e">
        <f>(PI()*SQRT(((1+(Data!$D26/Data!$D$16))/2)^3))*Data!$H$16/Time_scale</f>
        <v>#NUM!</v>
      </c>
      <c r="L23" s="27" t="e">
        <f>(PI()*SQRT(((1+(Data!$D26/Data!$D$17))/2)^3))*Data!$H$17/Time_scale</f>
        <v>#NUM!</v>
      </c>
      <c r="M23" s="27" t="e">
        <f>(PI()*SQRT(((1+(Data!$D26/Data!$D$18))/2)^3))*Data!$H$18/Time_scale</f>
        <v>#NUM!</v>
      </c>
      <c r="N23" s="27" t="e">
        <f>(PI()*SQRT(((1+(Data!$D26/Data!$D$19))/2)^3))*Data!$H$19/Time_scale</f>
        <v>#NUM!</v>
      </c>
      <c r="O23" s="27" t="e">
        <f>(PI()*SQRT(((1+(Data!$D26/Data!$D$20))/2)^3))*Data!$H$20/Time_scale</f>
        <v>#NUM!</v>
      </c>
      <c r="P23" s="27" t="e">
        <f>(PI()*SQRT(((1+(Data!$D26/Data!$D$21))/2)^3))*Data!$H$21/Time_scale</f>
        <v>#NUM!</v>
      </c>
      <c r="Q23" s="27" t="e">
        <f>(PI()*SQRT(((1+(Data!$D26/Data!$D$22))/2)^3))*Data!$H$22/Time_scale</f>
        <v>#NUM!</v>
      </c>
      <c r="R23" s="27" t="e">
        <f>(PI()*SQRT(((1+(Data!$D26/Data!$D$23))/2)^3))*Data!$H$23/Time_scale</f>
        <v>#NUM!</v>
      </c>
      <c r="S23" s="27" t="e">
        <f>(PI()*SQRT(((1+(Data!$D26/Data!$D$24))/2)^3))*Data!$H$24/Time_scale</f>
        <v>#NUM!</v>
      </c>
      <c r="T23" s="27" t="e">
        <f>(PI()*SQRT(((1+(Data!$D26/Data!$D$25))/2)^3))*Data!$H$25/Time_scale</f>
        <v>#NUM!</v>
      </c>
      <c r="U23" s="30"/>
      <c r="V23" s="28" t="e">
        <f>1/((1/Data!E26)-(1/Data!$E$27))/Time_scale</f>
        <v>#NUM!</v>
      </c>
      <c r="W23" s="28" t="e">
        <f>1/((1/Data!E26)-(1/Data!$E$28))/Time_scale</f>
        <v>#NUM!</v>
      </c>
      <c r="X23" s="28" t="e">
        <f>1/((1/Data!E26)-(1/Data!$E$29))/Time_scale</f>
        <v>#NUM!</v>
      </c>
      <c r="Y23" s="28" t="e">
        <f>1/((1/Data!E26)-(1/Data!$E$30))/Time_scale</f>
        <v>#NUM!</v>
      </c>
      <c r="Z23" s="28" t="e">
        <f>1/((1/Data!E26)-(1/Data!$E$31))/Time_scale</f>
        <v>#NUM!</v>
      </c>
      <c r="AA23" s="28" t="e">
        <f>1/((1/Data!E26)-(1/Data!$E$32))/Time_scale</f>
        <v>#NUM!</v>
      </c>
      <c r="AB23" s="28" t="e">
        <f>1/((1/Data!E26)-(1/Data!$E$33))/Time_scale</f>
        <v>#NUM!</v>
      </c>
      <c r="AC23" s="28" t="e">
        <f>1/((1/Data!E26)-(1/Data!$E$34))/Time_scale</f>
        <v>#NUM!</v>
      </c>
      <c r="AD23" s="28" t="e">
        <f>1/((1/Data!E26)-(1/Data!$E$35))/Time_scale</f>
        <v>#NUM!</v>
      </c>
      <c r="AE23" s="28" t="e">
        <f>1/((1/Data!E26)-(1/Data!$E$36))/Time_scale</f>
        <v>#NUM!</v>
      </c>
      <c r="AF23" s="19" t="str">
        <f>Data!A26</f>
        <v>Phoebe (S IX)</v>
      </c>
    </row>
    <row r="24" spans="1:32" ht="12.75">
      <c r="A24" s="3" t="str">
        <f>Data!A27</f>
        <v>S/2000 S 2</v>
      </c>
      <c r="B24" s="29">
        <f>(PI()*SQRT(((1+(Data!$D27/Data!$D$7))/2)^3))*Data!$H$7/Time_scale</f>
        <v>125.32741772460305</v>
      </c>
      <c r="C24" s="29">
        <f>(PI()*SQRT(((1+(Data!$D27/Data!$D$8))/2)^3))*Data!$H$8/Time_scale</f>
        <v>125.37752805621348</v>
      </c>
      <c r="D24" s="29">
        <f>(PI()*SQRT(((1+(Data!$D27/Data!$D$9))/2)^3))*Data!$H$9/Time_scale</f>
        <v>125.39816510553193</v>
      </c>
      <c r="E24" s="29">
        <f>(PI()*SQRT(((1+(Data!$D27/Data!$D$10))/2)^3))*Data!$H$10/Time_scale</f>
        <v>125.42694605388084</v>
      </c>
      <c r="F24" s="29">
        <f>(PI()*SQRT(((1+(Data!$D27/Data!$D$11))/2)^3))*Data!$H$11/Time_scale</f>
        <v>125.54618909070234</v>
      </c>
      <c r="G24" s="29">
        <f>(PI()*SQRT(((1+(Data!$D27/Data!$D$12))/2)^3))*Data!$H$12/Time_scale</f>
        <v>125.54680245224303</v>
      </c>
      <c r="H24" s="29">
        <f>(PI()*SQRT(((1+(Data!$D27/Data!$D$13))/2)^3))*Data!$H$13/Time_scale</f>
        <v>125.96470897166093</v>
      </c>
      <c r="I24" s="29">
        <f>(PI()*SQRT(((1+(Data!$D27/Data!$D$14))/2)^3))*Data!$H$14/Time_scale</f>
        <v>126.6100026171984</v>
      </c>
      <c r="J24" s="29">
        <f>(PI()*SQRT(((1+(Data!$D27/Data!$D$15))/2)^3))*Data!$H$15/Time_scale</f>
        <v>127.3074136902777</v>
      </c>
      <c r="K24" s="29">
        <f>(PI()*SQRT(((1+(Data!$D27/Data!$D$16))/2)^3))*Data!$H$16/Time_scale</f>
        <v>127.3074136902777</v>
      </c>
      <c r="L24" s="29">
        <f>(PI()*SQRT(((1+(Data!$D27/Data!$D$17))/2)^3))*Data!$H$17/Time_scale</f>
        <v>127.3074136902777</v>
      </c>
      <c r="M24" s="29">
        <f>(PI()*SQRT(((1+(Data!$D27/Data!$D$18))/2)^3))*Data!$H$18/Time_scale</f>
        <v>128.3284878644957</v>
      </c>
      <c r="N24" s="29">
        <f>(PI()*SQRT(((1+(Data!$D27/Data!$D$19))/2)^3))*Data!$H$19/Time_scale</f>
        <v>128.3284878644957</v>
      </c>
      <c r="O24" s="29">
        <f>(PI()*SQRT(((1+(Data!$D27/Data!$D$20))/2)^3))*Data!$H$20/Time_scale</f>
        <v>130.18204994305412</v>
      </c>
      <c r="P24" s="29">
        <f>(PI()*SQRT(((1+(Data!$D27/Data!$D$21))/2)^3))*Data!$H$21/Time_scale</f>
        <v>138.9034225791813</v>
      </c>
      <c r="Q24" s="29">
        <f>(PI()*SQRT(((1+(Data!$D27/Data!$D$22))/2)^3))*Data!$H$22/Time_scale</f>
        <v>142.20591063523528</v>
      </c>
      <c r="R24" s="29">
        <f>(PI()*SQRT(((1+(Data!$D27/Data!$D$23))/2)^3))*Data!$H$23/Time_scale</f>
        <v>169.61920016751267</v>
      </c>
      <c r="S24" s="29">
        <f>(PI()*SQRT(((1+(Data!$D27/Data!$D$24))/2)^3))*Data!$H$24/Time_scale</f>
        <v>285.86958456994296</v>
      </c>
      <c r="T24" s="29">
        <f>(PI()*SQRT(((1+(Data!$D27/Data!$D$25))/2)^3))*Data!$H$25/Time_scale</f>
        <v>287.00003498674585</v>
      </c>
      <c r="U24" s="29" t="e">
        <f>(PI()*SQRT(((1+(Data!$D27/Data!$D$26))/2)^3))*Data!$H$26/Time_scale</f>
        <v>#NUM!</v>
      </c>
      <c r="V24" s="30"/>
      <c r="W24" s="26" t="e">
        <f>1/((1/Data!E27)-(1/Data!$E$28))/Time_scale</f>
        <v>#NUM!</v>
      </c>
      <c r="X24" s="26">
        <f>1/((1/Data!E27)-(1/Data!$E$29))/Time_scale</f>
        <v>6545.111821795698</v>
      </c>
      <c r="Y24" s="26">
        <f>1/((1/Data!E27)-(1/Data!$E$30))/Time_scale</f>
        <v>3532.330632041809</v>
      </c>
      <c r="Z24" s="26">
        <f>1/((1/Data!E27)-(1/Data!$E$31))/Time_scale</f>
        <v>2987.1460784577175</v>
      </c>
      <c r="AA24" s="26">
        <f>1/((1/Data!E27)-(1/Data!$E$32))/Time_scale</f>
        <v>2924.3211852638306</v>
      </c>
      <c r="AB24" s="26" t="e">
        <f>1/((1/Data!E27)-(1/Data!$E$33))/Time_scale</f>
        <v>#NUM!</v>
      </c>
      <c r="AC24" s="26" t="e">
        <f>1/((1/Data!E27)-(1/Data!$E$34))/Time_scale</f>
        <v>#NUM!</v>
      </c>
      <c r="AD24" s="26" t="e">
        <f>1/((1/Data!E27)-(1/Data!$E$35))/Time_scale</f>
        <v>#NUM!</v>
      </c>
      <c r="AE24" s="26" t="e">
        <f>1/((1/Data!E27)-(1/Data!$E$36))/Time_scale</f>
        <v>#NUM!</v>
      </c>
      <c r="AF24" s="19" t="str">
        <f>Data!A27</f>
        <v>S/2000 S 2</v>
      </c>
    </row>
    <row r="25" spans="1:32" ht="12.75">
      <c r="A25" s="3" t="str">
        <f>Data!A28</f>
        <v>S/2000 S 8</v>
      </c>
      <c r="B25" s="27" t="e">
        <f>(PI()*SQRT(((1+(Data!$D28/Data!$D$7))/2)^3))*Data!$H$7/Time_scale</f>
        <v>#NUM!</v>
      </c>
      <c r="C25" s="27" t="e">
        <f>(PI()*SQRT(((1+(Data!$D28/Data!$D$8))/2)^3))*Data!$H$8/Time_scale</f>
        <v>#NUM!</v>
      </c>
      <c r="D25" s="27" t="e">
        <f>(PI()*SQRT(((1+(Data!$D28/Data!$D$9))/2)^3))*Data!$H$9/Time_scale</f>
        <v>#NUM!</v>
      </c>
      <c r="E25" s="27" t="e">
        <f>(PI()*SQRT(((1+(Data!$D28/Data!$D$10))/2)^3))*Data!$H$10/Time_scale</f>
        <v>#NUM!</v>
      </c>
      <c r="F25" s="27" t="e">
        <f>(PI()*SQRT(((1+(Data!$D28/Data!$D$11))/2)^3))*Data!$H$11/Time_scale</f>
        <v>#NUM!</v>
      </c>
      <c r="G25" s="27" t="e">
        <f>(PI()*SQRT(((1+(Data!$D28/Data!$D$12))/2)^3))*Data!$H$12/Time_scale</f>
        <v>#NUM!</v>
      </c>
      <c r="H25" s="27" t="e">
        <f>(PI()*SQRT(((1+(Data!$D28/Data!$D$13))/2)^3))*Data!$H$13/Time_scale</f>
        <v>#NUM!</v>
      </c>
      <c r="I25" s="27" t="e">
        <f>(PI()*SQRT(((1+(Data!$D28/Data!$D$14))/2)^3))*Data!$H$14/Time_scale</f>
        <v>#NUM!</v>
      </c>
      <c r="J25" s="27" t="e">
        <f>(PI()*SQRT(((1+(Data!$D28/Data!$D$15))/2)^3))*Data!$H$15/Time_scale</f>
        <v>#NUM!</v>
      </c>
      <c r="K25" s="27" t="e">
        <f>(PI()*SQRT(((1+(Data!$D28/Data!$D$16))/2)^3))*Data!$H$16/Time_scale</f>
        <v>#NUM!</v>
      </c>
      <c r="L25" s="27" t="e">
        <f>(PI()*SQRT(((1+(Data!$D28/Data!$D$17))/2)^3))*Data!$H$17/Time_scale</f>
        <v>#NUM!</v>
      </c>
      <c r="M25" s="27" t="e">
        <f>(PI()*SQRT(((1+(Data!$D28/Data!$D$18))/2)^3))*Data!$H$18/Time_scale</f>
        <v>#NUM!</v>
      </c>
      <c r="N25" s="27" t="e">
        <f>(PI()*SQRT(((1+(Data!$D28/Data!$D$19))/2)^3))*Data!$H$19/Time_scale</f>
        <v>#NUM!</v>
      </c>
      <c r="O25" s="27" t="e">
        <f>(PI()*SQRT(((1+(Data!$D28/Data!$D$20))/2)^3))*Data!$H$20/Time_scale</f>
        <v>#NUM!</v>
      </c>
      <c r="P25" s="27" t="e">
        <f>(PI()*SQRT(((1+(Data!$D28/Data!$D$21))/2)^3))*Data!$H$21/Time_scale</f>
        <v>#NUM!</v>
      </c>
      <c r="Q25" s="27" t="e">
        <f>(PI()*SQRT(((1+(Data!$D28/Data!$D$22))/2)^3))*Data!$H$22/Time_scale</f>
        <v>#NUM!</v>
      </c>
      <c r="R25" s="27" t="e">
        <f>(PI()*SQRT(((1+(Data!$D28/Data!$D$23))/2)^3))*Data!$H$23/Time_scale</f>
        <v>#NUM!</v>
      </c>
      <c r="S25" s="27" t="e">
        <f>(PI()*SQRT(((1+(Data!$D28/Data!$D$24))/2)^3))*Data!$H$24/Time_scale</f>
        <v>#NUM!</v>
      </c>
      <c r="T25" s="27" t="e">
        <f>(PI()*SQRT(((1+(Data!$D28/Data!$D$25))/2)^3))*Data!$H$25/Time_scale</f>
        <v>#NUM!</v>
      </c>
      <c r="U25" s="27" t="e">
        <f>(PI()*SQRT(((1+(Data!$D28/Data!$D$26))/2)^3))*Data!$H$26/Time_scale</f>
        <v>#NUM!</v>
      </c>
      <c r="V25" s="27" t="e">
        <f>(PI()*SQRT(((1+(Data!$D28/Data!$D$27))/2)^3))*Data!$H$27/Time_scale</f>
        <v>#NUM!</v>
      </c>
      <c r="W25" s="30"/>
      <c r="X25" s="28" t="e">
        <f>1/((1/Data!E28)-(1/Data!$E$29))/Time_scale</f>
        <v>#NUM!</v>
      </c>
      <c r="Y25" s="28" t="e">
        <f>1/((1/Data!E28)-(1/Data!$E$30))/Time_scale</f>
        <v>#NUM!</v>
      </c>
      <c r="Z25" s="28" t="e">
        <f>1/((1/Data!E28)-(1/Data!$E$31))/Time_scale</f>
        <v>#NUM!</v>
      </c>
      <c r="AA25" s="28" t="e">
        <f>1/((1/Data!E28)-(1/Data!$E$32))/Time_scale</f>
        <v>#NUM!</v>
      </c>
      <c r="AB25" s="28" t="e">
        <f>1/((1/Data!E28)-(1/Data!$E$33))/Time_scale</f>
        <v>#NUM!</v>
      </c>
      <c r="AC25" s="28" t="e">
        <f>1/((1/Data!E28)-(1/Data!$E$34))/Time_scale</f>
        <v>#NUM!</v>
      </c>
      <c r="AD25" s="28" t="e">
        <f>1/((1/Data!E28)-(1/Data!$E$35))/Time_scale</f>
        <v>#NUM!</v>
      </c>
      <c r="AE25" s="28" t="e">
        <f>1/((1/Data!E28)-(1/Data!$E$36))/Time_scale</f>
        <v>#NUM!</v>
      </c>
      <c r="AF25" s="19" t="str">
        <f>Data!A28</f>
        <v>S/2000 S 8</v>
      </c>
    </row>
    <row r="26" spans="1:32" ht="12.75">
      <c r="A26" s="3" t="str">
        <f>Data!A29</f>
        <v>S/2000 S 11</v>
      </c>
      <c r="B26" s="29">
        <f>(PI()*SQRT(((1+(Data!$D29/Data!$D$7))/2)^3))*Data!$H$7/Time_scale</f>
        <v>140.19643116322428</v>
      </c>
      <c r="C26" s="29">
        <f>(PI()*SQRT(((1+(Data!$D29/Data!$D$8))/2)^3))*Data!$H$8/Time_scale</f>
        <v>140.24844938260105</v>
      </c>
      <c r="D26" s="29">
        <f>(PI()*SQRT(((1+(Data!$D29/Data!$D$9))/2)^3))*Data!$H$9/Time_scale</f>
        <v>140.26987201650275</v>
      </c>
      <c r="E26" s="29">
        <f>(PI()*SQRT(((1+(Data!$D29/Data!$D$10))/2)^3))*Data!$H$10/Time_scale</f>
        <v>140.2997484196128</v>
      </c>
      <c r="F26" s="29">
        <f>(PI()*SQRT(((1+(Data!$D29/Data!$D$11))/2)^3))*Data!$H$11/Time_scale</f>
        <v>140.4235283094323</v>
      </c>
      <c r="G26" s="29">
        <f>(PI()*SQRT(((1+(Data!$D29/Data!$D$12))/2)^3))*Data!$H$12/Time_scale</f>
        <v>140.42416500031547</v>
      </c>
      <c r="H26" s="29">
        <f>(PI()*SQRT(((1+(Data!$D29/Data!$D$13))/2)^3))*Data!$H$13/Time_scale</f>
        <v>140.85794937960486</v>
      </c>
      <c r="I26" s="29">
        <f>(PI()*SQRT(((1+(Data!$D29/Data!$D$14))/2)^3))*Data!$H$14/Time_scale</f>
        <v>141.5276926100475</v>
      </c>
      <c r="J26" s="29">
        <f>(PI()*SQRT(((1+(Data!$D29/Data!$D$15))/2)^3))*Data!$H$15/Time_scale</f>
        <v>142.2514364145384</v>
      </c>
      <c r="K26" s="29">
        <f>(PI()*SQRT(((1+(Data!$D29/Data!$D$16))/2)^3))*Data!$H$16/Time_scale</f>
        <v>142.2514364145384</v>
      </c>
      <c r="L26" s="29">
        <f>(PI()*SQRT(((1+(Data!$D29/Data!$D$17))/2)^3))*Data!$H$17/Time_scale</f>
        <v>142.2514364145384</v>
      </c>
      <c r="M26" s="29">
        <f>(PI()*SQRT(((1+(Data!$D29/Data!$D$18))/2)^3))*Data!$H$18/Time_scale</f>
        <v>143.31089435319458</v>
      </c>
      <c r="N26" s="29">
        <f>(PI()*SQRT(((1+(Data!$D29/Data!$D$19))/2)^3))*Data!$H$19/Time_scale</f>
        <v>143.31089435319458</v>
      </c>
      <c r="O26" s="29">
        <f>(PI()*SQRT(((1+(Data!$D29/Data!$D$20))/2)^3))*Data!$H$20/Time_scale</f>
        <v>145.2336269467427</v>
      </c>
      <c r="P26" s="29">
        <f>(PI()*SQRT(((1+(Data!$D29/Data!$D$21))/2)^3))*Data!$H$21/Time_scale</f>
        <v>154.27208391458962</v>
      </c>
      <c r="Q26" s="29">
        <f>(PI()*SQRT(((1+(Data!$D29/Data!$D$22))/2)^3))*Data!$H$22/Time_scale</f>
        <v>157.69123206422665</v>
      </c>
      <c r="R26" s="29">
        <f>(PI()*SQRT(((1+(Data!$D29/Data!$D$23))/2)^3))*Data!$H$23/Time_scale</f>
        <v>186.0104816972732</v>
      </c>
      <c r="S26" s="29">
        <f>(PI()*SQRT(((1+(Data!$D29/Data!$D$24))/2)^3))*Data!$H$24/Time_scale</f>
        <v>305.28805472195563</v>
      </c>
      <c r="T26" s="29">
        <f>(PI()*SQRT(((1+(Data!$D29/Data!$D$25))/2)^3))*Data!$H$25/Time_scale</f>
        <v>306.4435102334439</v>
      </c>
      <c r="U26" s="29" t="e">
        <f>(PI()*SQRT(((1+(Data!$D29/Data!$D$26))/2)^3))*Data!$H$26/Time_scale</f>
        <v>#NUM!</v>
      </c>
      <c r="V26" s="29">
        <f>(PI()*SQRT(((1+(Data!$D29/Data!$D$27))/2)^3))*Data!$H$27/Time_scale</f>
        <v>370.59969519129817</v>
      </c>
      <c r="W26" s="29" t="e">
        <f>(PI()*SQRT(((1+(Data!$D29/Data!$D$28))/2)^3))*Data!$H$28/Time_scale</f>
        <v>#NUM!</v>
      </c>
      <c r="X26" s="30"/>
      <c r="Y26" s="26">
        <f>1/((1/Data!E29)-(1/Data!$E$30))/Time_scale</f>
        <v>7673.80620168985</v>
      </c>
      <c r="Z26" s="26">
        <f>1/((1/Data!E29)-(1/Data!$E$31))/Time_scale</f>
        <v>5495.051532790165</v>
      </c>
      <c r="AA26" s="26">
        <f>1/((1/Data!E29)-(1/Data!$E$32))/Time_scale</f>
        <v>5286.140813358638</v>
      </c>
      <c r="AB26" s="26" t="e">
        <f>1/((1/Data!E29)-(1/Data!$E$33))/Time_scale</f>
        <v>#NUM!</v>
      </c>
      <c r="AC26" s="26" t="e">
        <f>1/((1/Data!E29)-(1/Data!$E$34))/Time_scale</f>
        <v>#NUM!</v>
      </c>
      <c r="AD26" s="26" t="e">
        <f>1/((1/Data!E29)-(1/Data!$E$35))/Time_scale</f>
        <v>#NUM!</v>
      </c>
      <c r="AE26" s="26" t="e">
        <f>1/((1/Data!E29)-(1/Data!$E$36))/Time_scale</f>
        <v>#NUM!</v>
      </c>
      <c r="AF26" s="19" t="str">
        <f>Data!A29</f>
        <v>S/2000 S 11</v>
      </c>
    </row>
    <row r="27" spans="1:32" ht="12.75">
      <c r="A27" s="3" t="str">
        <f>Data!A30</f>
        <v>S/2000 S 10</v>
      </c>
      <c r="B27" s="27">
        <f>(PI()*SQRT(((1+(Data!$D30/Data!$D$7))/2)^3))*Data!$H$7/Time_scale</f>
        <v>156.0064672781733</v>
      </c>
      <c r="C27" s="27">
        <f>(PI()*SQRT(((1+(Data!$D30/Data!$D$8))/2)^3))*Data!$H$8/Time_scale</f>
        <v>156.06037142588258</v>
      </c>
      <c r="D27" s="27">
        <f>(PI()*SQRT(((1+(Data!$D30/Data!$D$9))/2)^3))*Data!$H$9/Time_scale</f>
        <v>156.0825706073866</v>
      </c>
      <c r="E27" s="27">
        <f>(PI()*SQRT(((1+(Data!$D30/Data!$D$10))/2)^3))*Data!$H$10/Time_scale</f>
        <v>156.11352986850267</v>
      </c>
      <c r="F27" s="27">
        <f>(PI()*SQRT(((1+(Data!$D30/Data!$D$11))/2)^3))*Data!$H$11/Time_scale</f>
        <v>156.24179450130646</v>
      </c>
      <c r="G27" s="27">
        <f>(PI()*SQRT(((1+(Data!$D30/Data!$D$12))/2)^3))*Data!$H$12/Time_scale</f>
        <v>156.2424542538215</v>
      </c>
      <c r="H27" s="27">
        <f>(PI()*SQRT(((1+(Data!$D30/Data!$D$13))/2)^3))*Data!$H$13/Time_scale</f>
        <v>156.6919348796238</v>
      </c>
      <c r="I27" s="27">
        <f>(PI()*SQRT(((1+(Data!$D30/Data!$D$14))/2)^3))*Data!$H$14/Time_scale</f>
        <v>157.3858503332375</v>
      </c>
      <c r="J27" s="27">
        <f>(PI()*SQRT(((1+(Data!$D30/Data!$D$15))/2)^3))*Data!$H$15/Time_scale</f>
        <v>158.1356312459554</v>
      </c>
      <c r="K27" s="27">
        <f>(PI()*SQRT(((1+(Data!$D30/Data!$D$16))/2)^3))*Data!$H$16/Time_scale</f>
        <v>158.1356312459554</v>
      </c>
      <c r="L27" s="27">
        <f>(PI()*SQRT(((1+(Data!$D30/Data!$D$17))/2)^3))*Data!$H$17/Time_scale</f>
        <v>158.1356312459554</v>
      </c>
      <c r="M27" s="27">
        <f>(PI()*SQRT(((1+(Data!$D30/Data!$D$18))/2)^3))*Data!$H$18/Time_scale</f>
        <v>159.23304776472355</v>
      </c>
      <c r="N27" s="27">
        <f>(PI()*SQRT(((1+(Data!$D30/Data!$D$19))/2)^3))*Data!$H$19/Time_scale</f>
        <v>159.23304776472355</v>
      </c>
      <c r="O27" s="27">
        <f>(PI()*SQRT(((1+(Data!$D30/Data!$D$20))/2)^3))*Data!$H$20/Time_scale</f>
        <v>161.22420167443178</v>
      </c>
      <c r="P27" s="27">
        <f>(PI()*SQRT(((1+(Data!$D30/Data!$D$21))/2)^3))*Data!$H$21/Time_scale</f>
        <v>170.57658147450934</v>
      </c>
      <c r="Q27" s="27">
        <f>(PI()*SQRT(((1+(Data!$D30/Data!$D$22))/2)^3))*Data!$H$22/Time_scale</f>
        <v>174.1113358782914</v>
      </c>
      <c r="R27" s="27">
        <f>(PI()*SQRT(((1+(Data!$D30/Data!$D$23))/2)^3))*Data!$H$23/Time_scale</f>
        <v>203.33020955296726</v>
      </c>
      <c r="S27" s="27">
        <f>(PI()*SQRT(((1+(Data!$D30/Data!$D$24))/2)^3))*Data!$H$24/Time_scale</f>
        <v>325.63283527895913</v>
      </c>
      <c r="T27" s="27">
        <f>(PI()*SQRT(((1+(Data!$D30/Data!$D$25))/2)^3))*Data!$H$25/Time_scale</f>
        <v>326.8133765629237</v>
      </c>
      <c r="U27" s="27" t="e">
        <f>(PI()*SQRT(((1+(Data!$D30/Data!$D$26))/2)^3))*Data!$H$26/Time_scale</f>
        <v>#NUM!</v>
      </c>
      <c r="V27" s="27">
        <f>(PI()*SQRT(((1+(Data!$D30/Data!$D$27))/2)^3))*Data!$H$27/Time_scale</f>
        <v>392.27439792531897</v>
      </c>
      <c r="W27" s="27" t="e">
        <f>(PI()*SQRT(((1+(Data!$D30/Data!$D$28))/2)^3))*Data!$H$28/Time_scale</f>
        <v>#NUM!</v>
      </c>
      <c r="X27" s="27">
        <f>(PI()*SQRT(((1+(Data!$D30/Data!$D$29))/2)^3))*Data!$H$29/Time_scale</f>
        <v>413.8081067396903</v>
      </c>
      <c r="Y27" s="30"/>
      <c r="Z27" s="28">
        <f>1/((1/Data!E30)-(1/Data!$E$31))/Time_scale</f>
        <v>19354.15727748097</v>
      </c>
      <c r="AA27" s="28">
        <f>1/((1/Data!E30)-(1/Data!$E$32))/Time_scale</f>
        <v>16989.323694518567</v>
      </c>
      <c r="AB27" s="28" t="e">
        <f>1/((1/Data!E30)-(1/Data!$E$33))/Time_scale</f>
        <v>#NUM!</v>
      </c>
      <c r="AC27" s="28" t="e">
        <f>1/((1/Data!E30)-(1/Data!$E$34))/Time_scale</f>
        <v>#NUM!</v>
      </c>
      <c r="AD27" s="28" t="e">
        <f>1/((1/Data!E30)-(1/Data!$E$35))/Time_scale</f>
        <v>#NUM!</v>
      </c>
      <c r="AE27" s="28" t="e">
        <f>1/((1/Data!E30)-(1/Data!$E$36))/Time_scale</f>
        <v>#NUM!</v>
      </c>
      <c r="AF27" s="19" t="str">
        <f>Data!A30</f>
        <v>S/2000 S 10</v>
      </c>
    </row>
    <row r="28" spans="1:32" ht="12.75">
      <c r="A28" s="3" t="str">
        <f>Data!A31</f>
        <v>S/2000 S 3</v>
      </c>
      <c r="B28" s="29">
        <f>(PI()*SQRT(((1+(Data!$D31/Data!$D$7))/2)^3))*Data!$H$7/Time_scale</f>
        <v>163.31601775629267</v>
      </c>
      <c r="C28" s="29">
        <f>(PI()*SQRT(((1+(Data!$D31/Data!$D$8))/2)^3))*Data!$H$8/Time_scale</f>
        <v>163.3707508703693</v>
      </c>
      <c r="D28" s="29">
        <f>(PI()*SQRT(((1+(Data!$D31/Data!$D$9))/2)^3))*Data!$H$9/Time_scale</f>
        <v>163.39329138750244</v>
      </c>
      <c r="E28" s="29">
        <f>(PI()*SQRT(((1+(Data!$D31/Data!$D$10))/2)^3))*Data!$H$10/Time_scale</f>
        <v>163.4247266260035</v>
      </c>
      <c r="F28" s="29">
        <f>(PI()*SQRT(((1+(Data!$D31/Data!$D$11))/2)^3))*Data!$H$11/Time_scale</f>
        <v>163.55496257440265</v>
      </c>
      <c r="G28" s="29">
        <f>(PI()*SQRT(((1+(Data!$D31/Data!$D$12))/2)^3))*Data!$H$12/Time_scale</f>
        <v>163.55563246397034</v>
      </c>
      <c r="H28" s="29">
        <f>(PI()*SQRT(((1+(Data!$D31/Data!$D$13))/2)^3))*Data!$H$13/Time_scale</f>
        <v>164.01201275734078</v>
      </c>
      <c r="I28" s="29">
        <f>(PI()*SQRT(((1+(Data!$D31/Data!$D$14))/2)^3))*Data!$H$14/Time_scale</f>
        <v>164.71655436220146</v>
      </c>
      <c r="J28" s="29">
        <f>(PI()*SQRT(((1+(Data!$D31/Data!$D$15))/2)^3))*Data!$H$15/Time_scale</f>
        <v>165.47778212683585</v>
      </c>
      <c r="K28" s="29">
        <f>(PI()*SQRT(((1+(Data!$D31/Data!$D$16))/2)^3))*Data!$H$16/Time_scale</f>
        <v>165.47778212683585</v>
      </c>
      <c r="L28" s="29">
        <f>(PI()*SQRT(((1+(Data!$D31/Data!$D$17))/2)^3))*Data!$H$17/Time_scale</f>
        <v>165.47778212683585</v>
      </c>
      <c r="M28" s="29">
        <f>(PI()*SQRT(((1+(Data!$D31/Data!$D$18))/2)^3))*Data!$H$18/Time_scale</f>
        <v>166.5918882588729</v>
      </c>
      <c r="N28" s="29">
        <f>(PI()*SQRT(((1+(Data!$D31/Data!$D$19))/2)^3))*Data!$H$19/Time_scale</f>
        <v>166.5918882588729</v>
      </c>
      <c r="O28" s="29">
        <f>(PI()*SQRT(((1+(Data!$D31/Data!$D$20))/2)^3))*Data!$H$20/Time_scale</f>
        <v>168.6131305369908</v>
      </c>
      <c r="P28" s="29">
        <f>(PI()*SQRT(((1+(Data!$D31/Data!$D$21))/2)^3))*Data!$H$21/Time_scale</f>
        <v>178.103637326174</v>
      </c>
      <c r="Q28" s="29">
        <f>(PI()*SQRT(((1+(Data!$D31/Data!$D$22))/2)^3))*Data!$H$22/Time_scale</f>
        <v>181.68929055623536</v>
      </c>
      <c r="R28" s="29">
        <f>(PI()*SQRT(((1+(Data!$D31/Data!$D$23))/2)^3))*Data!$H$23/Time_scale</f>
        <v>211.30478884163844</v>
      </c>
      <c r="S28" s="29">
        <f>(PI()*SQRT(((1+(Data!$D31/Data!$D$24))/2)^3))*Data!$H$24/Time_scale</f>
        <v>334.9467663533234</v>
      </c>
      <c r="T28" s="29">
        <f>(PI()*SQRT(((1+(Data!$D31/Data!$D$25))/2)^3))*Data!$H$25/Time_scale</f>
        <v>336.1384441133813</v>
      </c>
      <c r="U28" s="29" t="e">
        <f>(PI()*SQRT(((1+(Data!$D31/Data!$D$26))/2)^3))*Data!$H$26/Time_scale</f>
        <v>#NUM!</v>
      </c>
      <c r="V28" s="29">
        <f>(PI()*SQRT(((1+(Data!$D31/Data!$D$27))/2)^3))*Data!$H$27/Time_scale</f>
        <v>402.17927036339995</v>
      </c>
      <c r="W28" s="29" t="e">
        <f>(PI()*SQRT(((1+(Data!$D31/Data!$D$28))/2)^3))*Data!$H$28/Time_scale</f>
        <v>#NUM!</v>
      </c>
      <c r="X28" s="29">
        <f>(PI()*SQRT(((1+(Data!$D31/Data!$D$29))/2)^3))*Data!$H$29/Time_scale</f>
        <v>423.8895366316845</v>
      </c>
      <c r="Y28" s="29">
        <f>(PI()*SQRT(((1+(Data!$D31/Data!$D$30))/2)^3))*Data!$H$30/Time_scale</f>
        <v>446.5386233605923</v>
      </c>
      <c r="Z28" s="30"/>
      <c r="AA28" s="26">
        <f>1/((1/Data!E31)-(1/Data!$E$32))/Time_scale</f>
        <v>139043.20591127803</v>
      </c>
      <c r="AB28" s="26" t="e">
        <f>1/((1/Data!E31)-(1/Data!$E$33))/Time_scale</f>
        <v>#NUM!</v>
      </c>
      <c r="AC28" s="26" t="e">
        <f>1/((1/Data!E31)-(1/Data!$E$34))/Time_scale</f>
        <v>#NUM!</v>
      </c>
      <c r="AD28" s="26" t="e">
        <f>1/((1/Data!E31)-(1/Data!$E$35))/Time_scale</f>
        <v>#NUM!</v>
      </c>
      <c r="AE28" s="26" t="e">
        <f>1/((1/Data!E31)-(1/Data!$E$36))/Time_scale</f>
        <v>#NUM!</v>
      </c>
      <c r="AF28" s="19" t="str">
        <f>Data!A31</f>
        <v>S/2000 S 3</v>
      </c>
    </row>
    <row r="29" spans="1:32" ht="12.75">
      <c r="A29" s="3" t="str">
        <f>Data!A32</f>
        <v>S/2000 S 4</v>
      </c>
      <c r="B29" s="27">
        <f>(PI()*SQRT(((1+(Data!$D32/Data!$D$7))/2)^3))*Data!$H$7/Time_scale</f>
        <v>164.38848849902163</v>
      </c>
      <c r="C29" s="27">
        <f>(PI()*SQRT(((1+(Data!$D32/Data!$D$8))/2)^3))*Data!$H$8/Time_scale</f>
        <v>164.4433411463926</v>
      </c>
      <c r="D29" s="27">
        <f>(PI()*SQRT(((1+(Data!$D32/Data!$D$9))/2)^3))*Data!$H$9/Time_scale</f>
        <v>164.46593088268642</v>
      </c>
      <c r="E29" s="27">
        <f>(PI()*SQRT(((1+(Data!$D32/Data!$D$10))/2)^3))*Data!$H$10/Time_scale</f>
        <v>164.49743475518866</v>
      </c>
      <c r="F29" s="27">
        <f>(PI()*SQRT(((1+(Data!$D32/Data!$D$11))/2)^3))*Data!$H$11/Time_scale</f>
        <v>164.6279549600937</v>
      </c>
      <c r="G29" s="27">
        <f>(PI()*SQRT(((1+(Data!$D32/Data!$D$12))/2)^3))*Data!$H$12/Time_scale</f>
        <v>164.62862631139075</v>
      </c>
      <c r="H29" s="27">
        <f>(PI()*SQRT(((1+(Data!$D32/Data!$D$13))/2)^3))*Data!$H$13/Time_scale</f>
        <v>165.0860015220567</v>
      </c>
      <c r="I29" s="27">
        <f>(PI()*SQRT(((1+(Data!$D32/Data!$D$14))/2)^3))*Data!$H$14/Time_scale</f>
        <v>165.79207542680155</v>
      </c>
      <c r="J29" s="27">
        <f>(PI()*SQRT(((1+(Data!$D32/Data!$D$15))/2)^3))*Data!$H$15/Time_scale</f>
        <v>166.5549538797725</v>
      </c>
      <c r="K29" s="27">
        <f>(PI()*SQRT(((1+(Data!$D32/Data!$D$16))/2)^3))*Data!$H$16/Time_scale</f>
        <v>166.5549538797725</v>
      </c>
      <c r="L29" s="27">
        <f>(PI()*SQRT(((1+(Data!$D32/Data!$D$17))/2)^3))*Data!$H$17/Time_scale</f>
        <v>166.5549538797725</v>
      </c>
      <c r="M29" s="27">
        <f>(PI()*SQRT(((1+(Data!$D32/Data!$D$18))/2)^3))*Data!$H$18/Time_scale</f>
        <v>167.6714668092849</v>
      </c>
      <c r="N29" s="27">
        <f>(PI()*SQRT(((1+(Data!$D32/Data!$D$19))/2)^3))*Data!$H$19/Time_scale</f>
        <v>167.6714668092849</v>
      </c>
      <c r="O29" s="27">
        <f>(PI()*SQRT(((1+(Data!$D32/Data!$D$20))/2)^3))*Data!$H$20/Time_scale</f>
        <v>169.69704834494905</v>
      </c>
      <c r="P29" s="27">
        <f>(PI()*SQRT(((1+(Data!$D32/Data!$D$21))/2)^3))*Data!$H$21/Time_scale</f>
        <v>179.20747919386147</v>
      </c>
      <c r="Q29" s="27">
        <f>(PI()*SQRT(((1+(Data!$D32/Data!$D$22))/2)^3))*Data!$H$22/Time_scale</f>
        <v>182.80047582245675</v>
      </c>
      <c r="R29" s="27">
        <f>(PI()*SQRT(((1+(Data!$D32/Data!$D$23))/2)^3))*Data!$H$23/Time_scale</f>
        <v>212.47322293846707</v>
      </c>
      <c r="S29" s="27">
        <f>(PI()*SQRT(((1+(Data!$D32/Data!$D$24))/2)^3))*Data!$H$24/Time_scale</f>
        <v>336.30879892719196</v>
      </c>
      <c r="T29" s="27">
        <f>(PI()*SQRT(((1+(Data!$D32/Data!$D$25))/2)^3))*Data!$H$25/Time_scale</f>
        <v>337.50208788019495</v>
      </c>
      <c r="U29" s="27" t="e">
        <f>(PI()*SQRT(((1+(Data!$D32/Data!$D$26))/2)^3))*Data!$H$26/Time_scale</f>
        <v>#NUM!</v>
      </c>
      <c r="V29" s="27">
        <f>(PI()*SQRT(((1+(Data!$D32/Data!$D$27))/2)^3))*Data!$H$27/Time_scale</f>
        <v>403.6268253589096</v>
      </c>
      <c r="W29" s="27" t="e">
        <f>(PI()*SQRT(((1+(Data!$D32/Data!$D$28))/2)^3))*Data!$H$28/Time_scale</f>
        <v>#NUM!</v>
      </c>
      <c r="X29" s="27">
        <f>(PI()*SQRT(((1+(Data!$D32/Data!$D$29))/2)^3))*Data!$H$29/Time_scale</f>
        <v>425.3626532260616</v>
      </c>
      <c r="Y29" s="27">
        <f>(PI()*SQRT(((1+(Data!$D32/Data!$D$30))/2)^3))*Data!$H$30/Time_scale</f>
        <v>448.0374934836453</v>
      </c>
      <c r="Z29" s="27">
        <f>(PI()*SQRT(((1+(Data!$D32/Data!$D$31))/2)^3))*Data!$H$31/Time_scale</f>
        <v>458.3874242984972</v>
      </c>
      <c r="AA29" s="30"/>
      <c r="AB29" s="28" t="e">
        <f>1/((1/Data!E32)-(1/Data!$E$33))/Time_scale</f>
        <v>#NUM!</v>
      </c>
      <c r="AC29" s="28" t="e">
        <f>1/((1/Data!E32)-(1/Data!$E$34))/Time_scale</f>
        <v>#NUM!</v>
      </c>
      <c r="AD29" s="28" t="e">
        <f>1/((1/Data!E32)-(1/Data!$E$35))/Time_scale</f>
        <v>#NUM!</v>
      </c>
      <c r="AE29" s="28" t="e">
        <f>1/((1/Data!E32)-(1/Data!$E$36))/Time_scale</f>
        <v>#NUM!</v>
      </c>
      <c r="AF29" s="19" t="str">
        <f>Data!A32</f>
        <v>S/2000 S 4</v>
      </c>
    </row>
    <row r="30" spans="1:32" ht="12.75">
      <c r="A30" s="3" t="str">
        <f>Data!A33</f>
        <v>S/2000 S 9</v>
      </c>
      <c r="B30" s="29" t="e">
        <f>(PI()*SQRT(((1+(Data!$D33/Data!$D$7))/2)^3))*Data!$H$7/Time_scale</f>
        <v>#NUM!</v>
      </c>
      <c r="C30" s="29" t="e">
        <f>(PI()*SQRT(((1+(Data!$D33/Data!$D$8))/2)^3))*Data!$H$8/Time_scale</f>
        <v>#NUM!</v>
      </c>
      <c r="D30" s="29" t="e">
        <f>(PI()*SQRT(((1+(Data!$D33/Data!$D$9))/2)^3))*Data!$H$9/Time_scale</f>
        <v>#NUM!</v>
      </c>
      <c r="E30" s="29" t="e">
        <f>(PI()*SQRT(((1+(Data!$D33/Data!$D$10))/2)^3))*Data!$H$10/Time_scale</f>
        <v>#NUM!</v>
      </c>
      <c r="F30" s="29" t="e">
        <f>(PI()*SQRT(((1+(Data!$D33/Data!$D$11))/2)^3))*Data!$H$11/Time_scale</f>
        <v>#NUM!</v>
      </c>
      <c r="G30" s="29" t="e">
        <f>(PI()*SQRT(((1+(Data!$D33/Data!$D$12))/2)^3))*Data!$H$12/Time_scale</f>
        <v>#NUM!</v>
      </c>
      <c r="H30" s="29" t="e">
        <f>(PI()*SQRT(((1+(Data!$D33/Data!$D$13))/2)^3))*Data!$H$13/Time_scale</f>
        <v>#NUM!</v>
      </c>
      <c r="I30" s="29" t="e">
        <f>(PI()*SQRT(((1+(Data!$D33/Data!$D$14))/2)^3))*Data!$H$14/Time_scale</f>
        <v>#NUM!</v>
      </c>
      <c r="J30" s="29" t="e">
        <f>(PI()*SQRT(((1+(Data!$D33/Data!$D$15))/2)^3))*Data!$H$15/Time_scale</f>
        <v>#NUM!</v>
      </c>
      <c r="K30" s="29" t="e">
        <f>(PI()*SQRT(((1+(Data!$D33/Data!$D$16))/2)^3))*Data!$H$16/Time_scale</f>
        <v>#NUM!</v>
      </c>
      <c r="L30" s="29" t="e">
        <f>(PI()*SQRT(((1+(Data!$D33/Data!$D$17))/2)^3))*Data!$H$17/Time_scale</f>
        <v>#NUM!</v>
      </c>
      <c r="M30" s="29" t="e">
        <f>(PI()*SQRT(((1+(Data!$D33/Data!$D$18))/2)^3))*Data!$H$18/Time_scale</f>
        <v>#NUM!</v>
      </c>
      <c r="N30" s="29" t="e">
        <f>(PI()*SQRT(((1+(Data!$D33/Data!$D$19))/2)^3))*Data!$H$19/Time_scale</f>
        <v>#NUM!</v>
      </c>
      <c r="O30" s="29" t="e">
        <f>(PI()*SQRT(((1+(Data!$D33/Data!$D$20))/2)^3))*Data!$H$20/Time_scale</f>
        <v>#NUM!</v>
      </c>
      <c r="P30" s="29" t="e">
        <f>(PI()*SQRT(((1+(Data!$D33/Data!$D$21))/2)^3))*Data!$H$21/Time_scale</f>
        <v>#NUM!</v>
      </c>
      <c r="Q30" s="29" t="e">
        <f>(PI()*SQRT(((1+(Data!$D33/Data!$D$22))/2)^3))*Data!$H$22/Time_scale</f>
        <v>#NUM!</v>
      </c>
      <c r="R30" s="29" t="e">
        <f>(PI()*SQRT(((1+(Data!$D33/Data!$D$23))/2)^3))*Data!$H$23/Time_scale</f>
        <v>#NUM!</v>
      </c>
      <c r="S30" s="29" t="e">
        <f>(PI()*SQRT(((1+(Data!$D33/Data!$D$24))/2)^3))*Data!$H$24/Time_scale</f>
        <v>#NUM!</v>
      </c>
      <c r="T30" s="29" t="e">
        <f>(PI()*SQRT(((1+(Data!$D33/Data!$D$25))/2)^3))*Data!$H$25/Time_scale</f>
        <v>#NUM!</v>
      </c>
      <c r="U30" s="29" t="e">
        <f>(PI()*SQRT(((1+(Data!$D33/Data!$D$26))/2)^3))*Data!$H$26/Time_scale</f>
        <v>#NUM!</v>
      </c>
      <c r="V30" s="29" t="e">
        <f>(PI()*SQRT(((1+(Data!$D33/Data!$D$27))/2)^3))*Data!$H$27/Time_scale</f>
        <v>#NUM!</v>
      </c>
      <c r="W30" s="29" t="e">
        <f>(PI()*SQRT(((1+(Data!$D33/Data!$D$28))/2)^3))*Data!$H$28/Time_scale</f>
        <v>#NUM!</v>
      </c>
      <c r="X30" s="29" t="e">
        <f>(PI()*SQRT(((1+(Data!$D33/Data!$D$29))/2)^3))*Data!$H$29/Time_scale</f>
        <v>#NUM!</v>
      </c>
      <c r="Y30" s="29" t="e">
        <f>(PI()*SQRT(((1+(Data!$D33/Data!$D$30))/2)^3))*Data!$H$30/Time_scale</f>
        <v>#NUM!</v>
      </c>
      <c r="Z30" s="29" t="e">
        <f>(PI()*SQRT(((1+(Data!$D33/Data!$D$31))/2)^3))*Data!$H$31/Time_scale</f>
        <v>#NUM!</v>
      </c>
      <c r="AA30" s="29" t="e">
        <f>(PI()*SQRT(((1+(Data!$D33/Data!$D$32))/2)^3))*Data!$H$32/Time_scale</f>
        <v>#NUM!</v>
      </c>
      <c r="AB30" s="30"/>
      <c r="AC30" s="26" t="e">
        <f>1/((1/Data!E33)-(1/Data!$E$34))/Time_scale</f>
        <v>#NUM!</v>
      </c>
      <c r="AD30" s="26" t="e">
        <f>1/((1/Data!E33)-(1/Data!$E$35))/Time_scale</f>
        <v>#NUM!</v>
      </c>
      <c r="AE30" s="26" t="e">
        <f>1/((1/Data!E33)-(1/Data!$E$36))/Time_scale</f>
        <v>#NUM!</v>
      </c>
      <c r="AF30" s="19" t="str">
        <f>Data!A33</f>
        <v>S/2000 S 9</v>
      </c>
    </row>
    <row r="31" spans="1:32" ht="12.75">
      <c r="A31" s="3" t="str">
        <f>Data!A34</f>
        <v>S/2000 S 12</v>
      </c>
      <c r="B31" s="27" t="e">
        <f>(PI()*SQRT(((1+(Data!$D34/Data!$D$7))/2)^3))*Data!$H$7/Time_scale</f>
        <v>#NUM!</v>
      </c>
      <c r="C31" s="27" t="e">
        <f>(PI()*SQRT(((1+(Data!$D34/Data!$D$8))/2)^3))*Data!$H$8/Time_scale</f>
        <v>#NUM!</v>
      </c>
      <c r="D31" s="27" t="e">
        <f>(PI()*SQRT(((1+(Data!$D34/Data!$D$9))/2)^3))*Data!$H$9/Time_scale</f>
        <v>#NUM!</v>
      </c>
      <c r="E31" s="27" t="e">
        <f>(PI()*SQRT(((1+(Data!$D34/Data!$D$10))/2)^3))*Data!$H$10/Time_scale</f>
        <v>#NUM!</v>
      </c>
      <c r="F31" s="27" t="e">
        <f>(PI()*SQRT(((1+(Data!$D34/Data!$D$11))/2)^3))*Data!$H$11/Time_scale</f>
        <v>#NUM!</v>
      </c>
      <c r="G31" s="27" t="e">
        <f>(PI()*SQRT(((1+(Data!$D34/Data!$D$12))/2)^3))*Data!$H$12/Time_scale</f>
        <v>#NUM!</v>
      </c>
      <c r="H31" s="27" t="e">
        <f>(PI()*SQRT(((1+(Data!$D34/Data!$D$13))/2)^3))*Data!$H$13/Time_scale</f>
        <v>#NUM!</v>
      </c>
      <c r="I31" s="27" t="e">
        <f>(PI()*SQRT(((1+(Data!$D34/Data!$D$14))/2)^3))*Data!$H$14/Time_scale</f>
        <v>#NUM!</v>
      </c>
      <c r="J31" s="27" t="e">
        <f>(PI()*SQRT(((1+(Data!$D34/Data!$D$15))/2)^3))*Data!$H$15/Time_scale</f>
        <v>#NUM!</v>
      </c>
      <c r="K31" s="27" t="e">
        <f>(PI()*SQRT(((1+(Data!$D34/Data!$D$16))/2)^3))*Data!$H$16/Time_scale</f>
        <v>#NUM!</v>
      </c>
      <c r="L31" s="27" t="e">
        <f>(PI()*SQRT(((1+(Data!$D34/Data!$D$17))/2)^3))*Data!$H$17/Time_scale</f>
        <v>#NUM!</v>
      </c>
      <c r="M31" s="27" t="e">
        <f>(PI()*SQRT(((1+(Data!$D34/Data!$D$18))/2)^3))*Data!$H$18/Time_scale</f>
        <v>#NUM!</v>
      </c>
      <c r="N31" s="27" t="e">
        <f>(PI()*SQRT(((1+(Data!$D34/Data!$D$19))/2)^3))*Data!$H$19/Time_scale</f>
        <v>#NUM!</v>
      </c>
      <c r="O31" s="27" t="e">
        <f>(PI()*SQRT(((1+(Data!$D34/Data!$D$20))/2)^3))*Data!$H$20/Time_scale</f>
        <v>#NUM!</v>
      </c>
      <c r="P31" s="27" t="e">
        <f>(PI()*SQRT(((1+(Data!$D34/Data!$D$21))/2)^3))*Data!$H$21/Time_scale</f>
        <v>#NUM!</v>
      </c>
      <c r="Q31" s="27" t="e">
        <f>(PI()*SQRT(((1+(Data!$D34/Data!$D$22))/2)^3))*Data!$H$22/Time_scale</f>
        <v>#NUM!</v>
      </c>
      <c r="R31" s="27" t="e">
        <f>(PI()*SQRT(((1+(Data!$D34/Data!$D$23))/2)^3))*Data!$H$23/Time_scale</f>
        <v>#NUM!</v>
      </c>
      <c r="S31" s="27" t="e">
        <f>(PI()*SQRT(((1+(Data!$D34/Data!$D$24))/2)^3))*Data!$H$24/Time_scale</f>
        <v>#NUM!</v>
      </c>
      <c r="T31" s="27" t="e">
        <f>(PI()*SQRT(((1+(Data!$D34/Data!$D$25))/2)^3))*Data!$H$25/Time_scale</f>
        <v>#NUM!</v>
      </c>
      <c r="U31" s="27" t="e">
        <f>(PI()*SQRT(((1+(Data!$D34/Data!$D$26))/2)^3))*Data!$H$26/Time_scale</f>
        <v>#NUM!</v>
      </c>
      <c r="V31" s="27" t="e">
        <f>(PI()*SQRT(((1+(Data!$D34/Data!$D$27))/2)^3))*Data!$H$27/Time_scale</f>
        <v>#NUM!</v>
      </c>
      <c r="W31" s="27" t="e">
        <f>(PI()*SQRT(((1+(Data!$D34/Data!$D$28))/2)^3))*Data!$H$28/Time_scale</f>
        <v>#NUM!</v>
      </c>
      <c r="X31" s="27" t="e">
        <f>(PI()*SQRT(((1+(Data!$D34/Data!$D$29))/2)^3))*Data!$H$29/Time_scale</f>
        <v>#NUM!</v>
      </c>
      <c r="Y31" s="27" t="e">
        <f>(PI()*SQRT(((1+(Data!$D34/Data!$D$30))/2)^3))*Data!$H$30/Time_scale</f>
        <v>#NUM!</v>
      </c>
      <c r="Z31" s="27" t="e">
        <f>(PI()*SQRT(((1+(Data!$D34/Data!$D$31))/2)^3))*Data!$H$31/Time_scale</f>
        <v>#NUM!</v>
      </c>
      <c r="AA31" s="27" t="e">
        <f>(PI()*SQRT(((1+(Data!$D34/Data!$D$32))/2)^3))*Data!$H$32/Time_scale</f>
        <v>#NUM!</v>
      </c>
      <c r="AB31" s="27" t="e">
        <f>(PI()*SQRT(((1+(Data!$D34/Data!$D$33))/2)^3))*Data!$H$33/Time_scale</f>
        <v>#NUM!</v>
      </c>
      <c r="AC31" s="30"/>
      <c r="AD31" s="28" t="e">
        <f>1/((1/Data!E34)-(1/Data!$E$35))/Time_scale</f>
        <v>#NUM!</v>
      </c>
      <c r="AE31" s="28" t="e">
        <f>1/((1/Data!E34)-(1/Data!$E$36))/Time_scale</f>
        <v>#NUM!</v>
      </c>
      <c r="AF31" s="19" t="str">
        <f>Data!A34</f>
        <v>S/2000 S 12</v>
      </c>
    </row>
    <row r="32" spans="1:32" ht="12.75">
      <c r="A32" s="3" t="str">
        <f>Data!A35</f>
        <v>S/2000 S 7</v>
      </c>
      <c r="B32" s="29" t="e">
        <f>(PI()*SQRT(((1+(Data!$D35/Data!$D$7))/2)^3))*Data!$H$7/Time_scale</f>
        <v>#NUM!</v>
      </c>
      <c r="C32" s="29" t="e">
        <f>(PI()*SQRT(((1+(Data!$D35/Data!$D$8))/2)^3))*Data!$H$8/Time_scale</f>
        <v>#NUM!</v>
      </c>
      <c r="D32" s="29" t="e">
        <f>(PI()*SQRT(((1+(Data!$D35/Data!$D$9))/2)^3))*Data!$H$9/Time_scale</f>
        <v>#NUM!</v>
      </c>
      <c r="E32" s="29" t="e">
        <f>(PI()*SQRT(((1+(Data!$D35/Data!$D$10))/2)^3))*Data!$H$10/Time_scale</f>
        <v>#NUM!</v>
      </c>
      <c r="F32" s="29" t="e">
        <f>(PI()*SQRT(((1+(Data!$D35/Data!$D$11))/2)^3))*Data!$H$11/Time_scale</f>
        <v>#NUM!</v>
      </c>
      <c r="G32" s="29" t="e">
        <f>(PI()*SQRT(((1+(Data!$D35/Data!$D$12))/2)^3))*Data!$H$12/Time_scale</f>
        <v>#NUM!</v>
      </c>
      <c r="H32" s="29" t="e">
        <f>(PI()*SQRT(((1+(Data!$D35/Data!$D$13))/2)^3))*Data!$H$13/Time_scale</f>
        <v>#NUM!</v>
      </c>
      <c r="I32" s="29" t="e">
        <f>(PI()*SQRT(((1+(Data!$D35/Data!$D$14))/2)^3))*Data!$H$14/Time_scale</f>
        <v>#NUM!</v>
      </c>
      <c r="J32" s="29" t="e">
        <f>(PI()*SQRT(((1+(Data!$D35/Data!$D$15))/2)^3))*Data!$H$15/Time_scale</f>
        <v>#NUM!</v>
      </c>
      <c r="K32" s="29" t="e">
        <f>(PI()*SQRT(((1+(Data!$D35/Data!$D$16))/2)^3))*Data!$H$16/Time_scale</f>
        <v>#NUM!</v>
      </c>
      <c r="L32" s="29" t="e">
        <f>(PI()*SQRT(((1+(Data!$D35/Data!$D$17))/2)^3))*Data!$H$17/Time_scale</f>
        <v>#NUM!</v>
      </c>
      <c r="M32" s="29" t="e">
        <f>(PI()*SQRT(((1+(Data!$D35/Data!$D$18))/2)^3))*Data!$H$18/Time_scale</f>
        <v>#NUM!</v>
      </c>
      <c r="N32" s="29" t="e">
        <f>(PI()*SQRT(((1+(Data!$D35/Data!$D$19))/2)^3))*Data!$H$19/Time_scale</f>
        <v>#NUM!</v>
      </c>
      <c r="O32" s="29" t="e">
        <f>(PI()*SQRT(((1+(Data!$D35/Data!$D$20))/2)^3))*Data!$H$20/Time_scale</f>
        <v>#NUM!</v>
      </c>
      <c r="P32" s="29" t="e">
        <f>(PI()*SQRT(((1+(Data!$D35/Data!$D$21))/2)^3))*Data!$H$21/Time_scale</f>
        <v>#NUM!</v>
      </c>
      <c r="Q32" s="29" t="e">
        <f>(PI()*SQRT(((1+(Data!$D35/Data!$D$22))/2)^3))*Data!$H$22/Time_scale</f>
        <v>#NUM!</v>
      </c>
      <c r="R32" s="29" t="e">
        <f>(PI()*SQRT(((1+(Data!$D35/Data!$D$23))/2)^3))*Data!$H$23/Time_scale</f>
        <v>#NUM!</v>
      </c>
      <c r="S32" s="29" t="e">
        <f>(PI()*SQRT(((1+(Data!$D35/Data!$D$24))/2)^3))*Data!$H$24/Time_scale</f>
        <v>#NUM!</v>
      </c>
      <c r="T32" s="29" t="e">
        <f>(PI()*SQRT(((1+(Data!$D35/Data!$D$25))/2)^3))*Data!$H$25/Time_scale</f>
        <v>#NUM!</v>
      </c>
      <c r="U32" s="29" t="e">
        <f>(PI()*SQRT(((1+(Data!$D35/Data!$D$26))/2)^3))*Data!$H$26/Time_scale</f>
        <v>#NUM!</v>
      </c>
      <c r="V32" s="29" t="e">
        <f>(PI()*SQRT(((1+(Data!$D35/Data!$D$27))/2)^3))*Data!$H$27/Time_scale</f>
        <v>#NUM!</v>
      </c>
      <c r="W32" s="29" t="e">
        <f>(PI()*SQRT(((1+(Data!$D35/Data!$D$28))/2)^3))*Data!$H$28/Time_scale</f>
        <v>#NUM!</v>
      </c>
      <c r="X32" s="29" t="e">
        <f>(PI()*SQRT(((1+(Data!$D35/Data!$D$29))/2)^3))*Data!$H$29/Time_scale</f>
        <v>#NUM!</v>
      </c>
      <c r="Y32" s="29" t="e">
        <f>(PI()*SQRT(((1+(Data!$D35/Data!$D$30))/2)^3))*Data!$H$30/Time_scale</f>
        <v>#NUM!</v>
      </c>
      <c r="Z32" s="29" t="e">
        <f>(PI()*SQRT(((1+(Data!$D35/Data!$D$31))/2)^3))*Data!$H$31/Time_scale</f>
        <v>#NUM!</v>
      </c>
      <c r="AA32" s="29" t="e">
        <f>(PI()*SQRT(((1+(Data!$D35/Data!$D$32))/2)^3))*Data!$H$32/Time_scale</f>
        <v>#NUM!</v>
      </c>
      <c r="AB32" s="29" t="e">
        <f>(PI()*SQRT(((1+(Data!$D35/Data!$D$33))/2)^3))*Data!$H$33/Time_scale</f>
        <v>#NUM!</v>
      </c>
      <c r="AC32" s="29" t="e">
        <f>(PI()*SQRT(((1+(Data!$D35/Data!$D$34))/2)^3))*Data!$H$34/Time_scale</f>
        <v>#NUM!</v>
      </c>
      <c r="AD32" s="30"/>
      <c r="AE32" s="26" t="e">
        <f>1/((1/Data!E35)-(1/Data!$E$36))/Time_scale</f>
        <v>#NUM!</v>
      </c>
      <c r="AF32" s="19" t="str">
        <f>Data!A35</f>
        <v>S/2000 S 7</v>
      </c>
    </row>
    <row r="33" spans="1:32" ht="12.75">
      <c r="A33" s="3" t="str">
        <f>Data!A36</f>
        <v>S/2000 S 1</v>
      </c>
      <c r="B33" s="27" t="e">
        <f>(PI()*SQRT(((1+(Data!$D36/Data!$D$7))/2)^3))*Data!$H$7/Time_scale</f>
        <v>#NUM!</v>
      </c>
      <c r="C33" s="27" t="e">
        <f>(PI()*SQRT(((1+(Data!$D36/Data!$D$8))/2)^3))*Data!$H$8/Time_scale</f>
        <v>#NUM!</v>
      </c>
      <c r="D33" s="27" t="e">
        <f>(PI()*SQRT(((1+(Data!$D36/Data!$D$9))/2)^3))*Data!$H$9/Time_scale</f>
        <v>#NUM!</v>
      </c>
      <c r="E33" s="27" t="e">
        <f>(PI()*SQRT(((1+(Data!$D36/Data!$D$10))/2)^3))*Data!$H$10/Time_scale</f>
        <v>#NUM!</v>
      </c>
      <c r="F33" s="27" t="e">
        <f>(PI()*SQRT(((1+(Data!$D36/Data!$D$11))/2)^3))*Data!$H$11/Time_scale</f>
        <v>#NUM!</v>
      </c>
      <c r="G33" s="27" t="e">
        <f>(PI()*SQRT(((1+(Data!$D36/Data!$D$12))/2)^3))*Data!$H$12/Time_scale</f>
        <v>#NUM!</v>
      </c>
      <c r="H33" s="27" t="e">
        <f>(PI()*SQRT(((1+(Data!$D36/Data!$D$13))/2)^3))*Data!$H$13/Time_scale</f>
        <v>#NUM!</v>
      </c>
      <c r="I33" s="27" t="e">
        <f>(PI()*SQRT(((1+(Data!$D36/Data!$D$14))/2)^3))*Data!$H$14/Time_scale</f>
        <v>#NUM!</v>
      </c>
      <c r="J33" s="27" t="e">
        <f>(PI()*SQRT(((1+(Data!$D36/Data!$D$15))/2)^3))*Data!$H$15/Time_scale</f>
        <v>#NUM!</v>
      </c>
      <c r="K33" s="27" t="e">
        <f>(PI()*SQRT(((1+(Data!$D36/Data!$D$16))/2)^3))*Data!$H$16/Time_scale</f>
        <v>#NUM!</v>
      </c>
      <c r="L33" s="27" t="e">
        <f>(PI()*SQRT(((1+(Data!$D36/Data!$D$17))/2)^3))*Data!$H$17/Time_scale</f>
        <v>#NUM!</v>
      </c>
      <c r="M33" s="27" t="e">
        <f>(PI()*SQRT(((1+(Data!$D36/Data!$D$18))/2)^3))*Data!$H$18/Time_scale</f>
        <v>#NUM!</v>
      </c>
      <c r="N33" s="27" t="e">
        <f>(PI()*SQRT(((1+(Data!$D36/Data!$D$19))/2)^3))*Data!$H$19/Time_scale</f>
        <v>#NUM!</v>
      </c>
      <c r="O33" s="27" t="e">
        <f>(PI()*SQRT(((1+(Data!$D36/Data!$D$20))/2)^3))*Data!$H$20/Time_scale</f>
        <v>#NUM!</v>
      </c>
      <c r="P33" s="27" t="e">
        <f>(PI()*SQRT(((1+(Data!$D36/Data!$D$21))/2)^3))*Data!$H$21/Time_scale</f>
        <v>#NUM!</v>
      </c>
      <c r="Q33" s="27" t="e">
        <f>(PI()*SQRT(((1+(Data!$D36/Data!$D$22))/2)^3))*Data!$H$22/Time_scale</f>
        <v>#NUM!</v>
      </c>
      <c r="R33" s="27" t="e">
        <f>(PI()*SQRT(((1+(Data!$D36/Data!$D$23))/2)^3))*Data!$H$23/Time_scale</f>
        <v>#NUM!</v>
      </c>
      <c r="S33" s="27" t="e">
        <f>(PI()*SQRT(((1+(Data!$D36/Data!$D$24))/2)^3))*Data!$H$24/Time_scale</f>
        <v>#NUM!</v>
      </c>
      <c r="T33" s="27" t="e">
        <f>(PI()*SQRT(((1+(Data!$D36/Data!$D$25))/2)^3))*Data!$H$25/Time_scale</f>
        <v>#NUM!</v>
      </c>
      <c r="U33" s="27" t="e">
        <f>(PI()*SQRT(((1+(Data!$D36/Data!$D$26))/2)^3))*Data!$H$26/Time_scale</f>
        <v>#NUM!</v>
      </c>
      <c r="V33" s="27" t="e">
        <f>(PI()*SQRT(((1+(Data!$D36/Data!$D$27))/2)^3))*Data!$H$27/Time_scale</f>
        <v>#NUM!</v>
      </c>
      <c r="W33" s="27" t="e">
        <f>(PI()*SQRT(((1+(Data!$D36/Data!$D$28))/2)^3))*Data!$H$28/Time_scale</f>
        <v>#NUM!</v>
      </c>
      <c r="X33" s="27" t="e">
        <f>(PI()*SQRT(((1+(Data!$D36/Data!$D$29))/2)^3))*Data!$H$29/Time_scale</f>
        <v>#NUM!</v>
      </c>
      <c r="Y33" s="27" t="e">
        <f>(PI()*SQRT(((1+(Data!$D36/Data!$D$30))/2)^3))*Data!$H$30/Time_scale</f>
        <v>#NUM!</v>
      </c>
      <c r="Z33" s="27" t="e">
        <f>(PI()*SQRT(((1+(Data!$D36/Data!$D$31))/2)^3))*Data!$H$31/Time_scale</f>
        <v>#NUM!</v>
      </c>
      <c r="AA33" s="27" t="e">
        <f>(PI()*SQRT(((1+(Data!$D36/Data!$D$32))/2)^3))*Data!$H$32/Time_scale</f>
        <v>#NUM!</v>
      </c>
      <c r="AB33" s="27" t="e">
        <f>(PI()*SQRT(((1+(Data!$D36/Data!$D$33))/2)^3))*Data!$H$33/Time_scale</f>
        <v>#NUM!</v>
      </c>
      <c r="AC33" s="27" t="e">
        <f>(PI()*SQRT(((1+(Data!$D36/Data!$D$34))/2)^3))*Data!$H$34/Time_scale</f>
        <v>#NUM!</v>
      </c>
      <c r="AD33" s="27" t="e">
        <f>(PI()*SQRT(((1+(Data!$D36/Data!$D$35))/2)^3))*Data!$H$35/Time_scale</f>
        <v>#NUM!</v>
      </c>
      <c r="AE33" s="30"/>
      <c r="AF33" s="19" t="str">
        <f>Data!A36</f>
        <v>S/2000 S 1</v>
      </c>
    </row>
    <row r="34" spans="2:31" ht="12.75">
      <c r="B34" s="3" t="str">
        <f>Data!A7</f>
        <v>Pan (SXVIII)</v>
      </c>
      <c r="C34" s="3" t="str">
        <f>Data!A8</f>
        <v>Atlas (SXV)</v>
      </c>
      <c r="D34" s="3" t="str">
        <f>Data!A9</f>
        <v>Prometheus (SXVI)</v>
      </c>
      <c r="E34" s="3" t="str">
        <f>Data!A10</f>
        <v>Pandora (SXVII)</v>
      </c>
      <c r="F34" s="3" t="str">
        <f>Data!A11</f>
        <v>Epimetheus (SXI)</v>
      </c>
      <c r="G34" s="3" t="str">
        <f>Data!A12</f>
        <v>Janus (SX)</v>
      </c>
      <c r="H34" s="3" t="str">
        <f>Data!A13</f>
        <v>Mimas (SI)</v>
      </c>
      <c r="I34" s="3" t="str">
        <f>Data!A14</f>
        <v>Enceladus (SII)</v>
      </c>
      <c r="J34" s="3" t="str">
        <f>Data!A15</f>
        <v>Calypso (SXIV)</v>
      </c>
      <c r="K34" s="3" t="str">
        <f>Data!A16</f>
        <v>Tethys (SIII)</v>
      </c>
      <c r="L34" s="3" t="str">
        <f>Data!A17</f>
        <v>Telesto (SXIII)</v>
      </c>
      <c r="M34" s="3" t="str">
        <f>Data!A18</f>
        <v>Dione (SIV)</v>
      </c>
      <c r="N34" s="3" t="str">
        <f>Data!A19</f>
        <v>Helene (SXII)</v>
      </c>
      <c r="O34" s="3" t="str">
        <f>Data!A20</f>
        <v>Rhea (SV)</v>
      </c>
      <c r="P34" s="3" t="str">
        <f>Data!A21</f>
        <v>Titan (SVI)</v>
      </c>
      <c r="Q34" s="3" t="str">
        <f>Data!A22</f>
        <v>Hyperion (SVII)</v>
      </c>
      <c r="R34" s="3" t="str">
        <f>Data!A23</f>
        <v>Iapetus (SVIII)</v>
      </c>
      <c r="S34" s="3" t="str">
        <f>Data!A24</f>
        <v>S/2000 S 5</v>
      </c>
      <c r="T34" s="3" t="str">
        <f>Data!A25</f>
        <v>S/2000 S 6</v>
      </c>
      <c r="U34" s="3" t="str">
        <f>Data!A26</f>
        <v>Phoebe (S IX)</v>
      </c>
      <c r="V34" s="3" t="str">
        <f>Data!A27</f>
        <v>S/2000 S 2</v>
      </c>
      <c r="W34" s="3" t="str">
        <f>Data!A28</f>
        <v>S/2000 S 8</v>
      </c>
      <c r="X34" s="3" t="str">
        <f>Data!A29</f>
        <v>S/2000 S 11</v>
      </c>
      <c r="Y34" s="3" t="str">
        <f>Data!A30</f>
        <v>S/2000 S 10</v>
      </c>
      <c r="Z34" s="3" t="str">
        <f>Data!A31</f>
        <v>S/2000 S 3</v>
      </c>
      <c r="AA34" s="3" t="str">
        <f>Data!A32</f>
        <v>S/2000 S 4</v>
      </c>
      <c r="AB34" s="3" t="str">
        <f>Data!A33</f>
        <v>S/2000 S 9</v>
      </c>
      <c r="AC34" s="3" t="str">
        <f>Data!A34</f>
        <v>S/2000 S 12</v>
      </c>
      <c r="AD34" s="3" t="str">
        <f>Data!A35</f>
        <v>S/2000 S 7</v>
      </c>
      <c r="AE34" s="3" t="str">
        <f>Data!A36</f>
        <v>S/2000 S 1</v>
      </c>
    </row>
    <row r="36" spans="1:2" ht="12.75">
      <c r="A36" s="1">
        <v>86400</v>
      </c>
      <c r="B36" s="2" t="s">
        <v>12</v>
      </c>
    </row>
    <row r="37" ht="12.75">
      <c r="B37" s="47" t="s">
        <v>23</v>
      </c>
    </row>
    <row r="38" ht="12.75">
      <c r="B38" s="46" t="s">
        <v>13</v>
      </c>
    </row>
    <row r="39" ht="12.75">
      <c r="B39" s="39" t="s">
        <v>64</v>
      </c>
    </row>
    <row r="40" ht="12.75">
      <c r="B40" s="39" t="s">
        <v>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ACT, Inc. -- Hunt Valley, 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Winchell Chung</dc:creator>
  <cp:keywords/>
  <dc:description/>
  <cp:lastModifiedBy>Winchell Chung</cp:lastModifiedBy>
  <dcterms:created xsi:type="dcterms:W3CDTF">2002-10-04T15:13:48Z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