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<sst xmlns="http://schemas.openxmlformats.org/spreadsheetml/2006/main" count="118" uniqueCount="114">
  <si>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>HOHMANN DELTA V CALCULATOR</t>
  </si>
  <si>
    <t>Calculate values for Hohmann journey from low orbit around Start planet to low orbit around Dest planet</t>
  </si>
  <si>
    <t>Type in input values in green boxes in column A. Results appear in red boxes in colum A.</t>
  </si>
  <si>
    <r>
      <rPr>
        <i/>
        <sz val="10"/>
        <rFont val="Arial"/>
        <family val="2"/>
      </rPr>
      <t xml:space="preserve">Spreadsheet implements method in </t>
    </r>
    <r>
      <rPr>
        <i/>
        <sz val="10"/>
        <color indexed="12"/>
        <rFont val="Arial"/>
        <family val="2"/>
      </rPr>
      <t>http://www.projectrho.com/public_html/rocket/mission.php#calcHohDV</t>
    </r>
  </si>
  <si>
    <t>Orbits are assumed to be circular and coplanar, which is not true in reality but is close enough for government work</t>
  </si>
  <si>
    <t>180 divided by pi</t>
  </si>
  <si>
    <t>Mu (N*kg^-2*m^2)</t>
  </si>
  <si>
    <t>Newton’s Gravitational Constant</t>
  </si>
  <si>
    <t>AU to Meter Calculator</t>
  </si>
  <si>
    <t>Mprimary (kg)</t>
  </si>
  <si>
    <t>Mass of Primary (star or planet in center)</t>
  </si>
  <si>
    <t>Sol = 1.9885e30</t>
  </si>
  <si>
    <t>AU</t>
  </si>
  <si>
    <t>Meters</t>
  </si>
  <si>
    <t>OrbitRadiusS (m)</t>
  </si>
  <si>
    <t>Orbital Radius of Start Planet</t>
  </si>
  <si>
    <t>Terra = 1.496e11</t>
  </si>
  <si>
    <t>OrbitRadiusD (m)</t>
  </si>
  <si>
    <t>Orbital Radius of Dest Planet</t>
  </si>
  <si>
    <t>Mars = 2.280e11</t>
  </si>
  <si>
    <t>Ms (kg)</t>
  </si>
  <si>
    <t xml:space="preserve">Mass of Start Planet </t>
  </si>
  <si>
    <t>Terra = 5.920e24</t>
  </si>
  <si>
    <t>Md (kg)</t>
  </si>
  <si>
    <t xml:space="preserve">Mass of Dest Planet </t>
  </si>
  <si>
    <t>Mars = 6.4171e23</t>
  </si>
  <si>
    <t>PlanetRadiusS (m)</t>
  </si>
  <si>
    <t>Mean Radius of Start Planet</t>
  </si>
  <si>
    <t>Terra = 6.3710e6</t>
  </si>
  <si>
    <t>PlanetRadiusD (m)</t>
  </si>
  <si>
    <t>Mean Radius of Dest Planet</t>
  </si>
  <si>
    <t>Mars = 3.3895e6</t>
  </si>
  <si>
    <t>ParkingOrbitAltitudeS (m)</t>
  </si>
  <si>
    <r>
      <rPr>
        <i/>
        <sz val="10"/>
        <rFont val="Arial"/>
        <family val="2"/>
      </rPr>
      <t xml:space="preserve">Parking Orbit </t>
    </r>
    <r>
      <rPr>
        <b/>
        <i/>
        <sz val="10"/>
        <rFont val="Arial"/>
        <family val="2"/>
      </rPr>
      <t>Altitude</t>
    </r>
    <r>
      <rPr>
        <i/>
        <sz val="10"/>
        <rFont val="Arial"/>
        <family val="2"/>
      </rPr>
      <t xml:space="preserve"> from Surface on Start Planet</t>
    </r>
  </si>
  <si>
    <t>Terra = 300,000 ISS orbit</t>
  </si>
  <si>
    <t>ParkingOrbitAltitudeD (m)</t>
  </si>
  <si>
    <r>
      <rPr>
        <i/>
        <sz val="10"/>
        <rFont val="Arial"/>
        <family val="2"/>
      </rPr>
      <t xml:space="preserve">Parking Orbit </t>
    </r>
    <r>
      <rPr>
        <b/>
        <i/>
        <sz val="10"/>
        <rFont val="Arial"/>
        <family val="2"/>
      </rPr>
      <t>Altitude</t>
    </r>
    <r>
      <rPr>
        <i/>
        <sz val="10"/>
        <rFont val="Arial"/>
        <family val="2"/>
      </rPr>
      <t xml:space="preserve"> from Surface on Dest Planet</t>
    </r>
  </si>
  <si>
    <t>Mars = 300,000</t>
  </si>
  <si>
    <t>SemmajorAxis (m)</t>
  </si>
  <si>
    <t>Semimajor Axis of Hohmann Transfer Orbit</t>
  </si>
  <si>
    <t>MuPrimary</t>
  </si>
  <si>
    <t>Gravitational parameter for Primary</t>
  </si>
  <si>
    <t>OrbitVelocityS (m/s)</t>
  </si>
  <si>
    <t>Orbital Velocity of Start Planet (free delta V)</t>
  </si>
  <si>
    <t>Vis Viva Equation</t>
  </si>
  <si>
    <t>VelocityS (m/s)</t>
  </si>
  <si>
    <t>Velocity of the Insertion Burn (enter Hohmann)</t>
  </si>
  <si>
    <t>VelocityInfS (m/s)</t>
  </si>
  <si>
    <t>Hyperbolic  Velocity at Infinity at Start Planet or Actual Velocity needed for Insertion Burn</t>
  </si>
  <si>
    <t>MuS</t>
  </si>
  <si>
    <t>Gravitational parameter for Start Planet</t>
  </si>
  <si>
    <t>ParkingOrbitRadiusS (m)</t>
  </si>
  <si>
    <t>Parking Orbit Radius at Start Planet</t>
  </si>
  <si>
    <t>ParkingOrbitCircularVelS (m/s)</t>
  </si>
  <si>
    <t>Parking Orbit Circular Velocity at Start Planet</t>
  </si>
  <si>
    <t>VelocityEscS (m/s)</t>
  </si>
  <si>
    <t>Escape Velocity for Start Planet</t>
  </si>
  <si>
    <t>VelocityHyperS (m/s)</t>
  </si>
  <si>
    <t>Velocity of hyperbolic escape orbit at Start Planet</t>
  </si>
  <si>
    <t>DeltaVS (m/s)</t>
  </si>
  <si>
    <t>Delta V of Insertion Burn</t>
  </si>
  <si>
    <t>OrbitVelocityD (m/s)</t>
  </si>
  <si>
    <t>Orbital Velocity of Dest Planet (free delta V)</t>
  </si>
  <si>
    <t>VelocityD (m/s)</t>
  </si>
  <si>
    <t>Velocity of the Arrival Burn (match Dest velocity)</t>
  </si>
  <si>
    <t>VelocityInfD (m/s)</t>
  </si>
  <si>
    <t>Hyperbolic  Velocity at Infinity at Dest Planet or Actual Velocity needed for Arrival Burn</t>
  </si>
  <si>
    <t>MuD</t>
  </si>
  <si>
    <t>Gravitational parameter for Dest Planet</t>
  </si>
  <si>
    <t>ParkingOrbitRadiusD (m)</t>
  </si>
  <si>
    <r>
      <rPr>
        <i/>
        <sz val="10"/>
        <rFont val="Arial"/>
        <family val="2"/>
      </rPr>
      <t xml:space="preserve">Parking Orbit </t>
    </r>
    <r>
      <rPr>
        <b/>
        <i/>
        <sz val="10"/>
        <rFont val="Arial"/>
        <family val="2"/>
      </rPr>
      <t>Radius</t>
    </r>
    <r>
      <rPr>
        <i/>
        <sz val="10"/>
        <rFont val="Arial"/>
        <family val="2"/>
      </rPr>
      <t xml:space="preserve"> at Dest Planet</t>
    </r>
  </si>
  <si>
    <t>ParkingOrbitCircularVelD (m/s)</t>
  </si>
  <si>
    <t>Parking Orbit Circular Velocity at Dest Planet</t>
  </si>
  <si>
    <t>VelocityEscD (m/s)</t>
  </si>
  <si>
    <t>Escape Velocity for Dest Planet</t>
  </si>
  <si>
    <t>VelocityHyperD (m/s)</t>
  </si>
  <si>
    <t>Velocity of hyperbolic capture orbit at Dest Planet</t>
  </si>
  <si>
    <t>DeltaVd (m/s)</t>
  </si>
  <si>
    <t>Delta V of Arrival Burn</t>
  </si>
  <si>
    <t>DeltaV (m/s)</t>
  </si>
  <si>
    <t>Total Delta V for One-Way Hohmann trip from Start planet low orbit to Dest planet low orbit</t>
  </si>
  <si>
    <t>Transit Time (sec)</t>
  </si>
  <si>
    <t>Time to travel from Start to Dest Planet</t>
  </si>
  <si>
    <t>Transit Time (days)</t>
  </si>
  <si>
    <t>Transit Time (months)</t>
  </si>
  <si>
    <t>Transit Time (years)</t>
  </si>
  <si>
    <t>OrbitalRadiusI (m)</t>
  </si>
  <si>
    <t>Orbital Radius of Inferior Planet (closer to Primary)</t>
  </si>
  <si>
    <t>OrbitalPeriodI (sec)</t>
  </si>
  <si>
    <t>Orbital Period of Inferior Planet</t>
  </si>
  <si>
    <t>OrbitalRadiusS (m)</t>
  </si>
  <si>
    <t>Orbital Radius of Superior Planet (further from Primary)</t>
  </si>
  <si>
    <t>OrbitalPeriodS (sec)</t>
  </si>
  <si>
    <t>Orbital Period of Superior Planet</t>
  </si>
  <si>
    <t>Synodic Period (sec)</t>
  </si>
  <si>
    <t>Time Delay between Hohmann Launch Windows (how often Start Planet can send mission to Dest Planet)</t>
  </si>
  <si>
    <t>Synodic Period (days)</t>
  </si>
  <si>
    <t>Synodic Period (months)</t>
  </si>
  <si>
    <t>Synodic Period (Years)</t>
  </si>
  <si>
    <t>YearS (sec)</t>
  </si>
  <si>
    <t>AngularVelocityS (deg/sec)</t>
  </si>
  <si>
    <t>AnglePerHohmann (deg)</t>
  </si>
  <si>
    <t>YearD (sec)</t>
  </si>
  <si>
    <t>AngularVelocityD (deg/sec)</t>
  </si>
  <si>
    <t>ToDestPhaseAngle (rad)</t>
  </si>
  <si>
    <t>ToDestPhaseAngle (deg)</t>
  </si>
  <si>
    <t>If positive Dest is ahead of Start, and vice versa</t>
  </si>
  <si>
    <t>ReturnStartPhaseAngle (rad)</t>
  </si>
  <si>
    <t>ReturnStartPhaseAngle (deg)</t>
  </si>
  <si>
    <t>SurfaceStay (sec)</t>
  </si>
  <si>
    <t>Time Delay between arrival and opening of Hohmann Launch Window for journey home to Start planet</t>
  </si>
  <si>
    <t>SurfaceStay (days)</t>
  </si>
  <si>
    <t>SurfaceStay (months)</t>
  </si>
  <si>
    <t>SurfaceStay (years)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</si>
</sst>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E+00"/>
    <numFmt numFmtId="166" formatCode="0.000"/>
    <numFmt numFmtId="167" formatCode="#,##0"/>
    <numFmt numFmtId="168" formatCode="0.00000E+00"/>
    <numFmt numFmtId="169" formatCode="#,##0.0"/>
    <numFmt numFmtId="170" formatCode="#,##0.00"/>
    <numFmt numFmtId="171" formatCode="0.00"/>
    <numFmt numFmtId="172" formatCode="0.0"/>
  </numFmts>
  <fonts count="16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0" fillId="0" borderId="0" xfId="0" applyNumberFormat="1" applyAlignment="1">
      <alignment/>
    </xf>
    <xf numFmtId="164" fontId="0" fillId="9" borderId="0" xfId="0" applyFont="1" applyFill="1" applyAlignment="1">
      <alignment/>
    </xf>
    <xf numFmtId="165" fontId="0" fillId="10" borderId="2" xfId="0" applyNumberFormat="1" applyFill="1" applyBorder="1" applyAlignment="1">
      <alignment/>
    </xf>
    <xf numFmtId="164" fontId="9" fillId="10" borderId="2" xfId="0" applyFont="1" applyFill="1" applyBorder="1" applyAlignment="1">
      <alignment/>
    </xf>
    <xf numFmtId="164" fontId="10" fillId="10" borderId="2" xfId="0" applyFont="1" applyFill="1" applyBorder="1" applyAlignment="1">
      <alignment/>
    </xf>
    <xf numFmtId="164" fontId="0" fillId="10" borderId="2" xfId="0" applyFont="1" applyFill="1" applyBorder="1" applyAlignment="1">
      <alignment/>
    </xf>
    <xf numFmtId="164" fontId="9" fillId="9" borderId="0" xfId="0" applyFont="1" applyFill="1" applyAlignment="1">
      <alignment/>
    </xf>
    <xf numFmtId="166" fontId="0" fillId="11" borderId="0" xfId="0" applyNumberFormat="1" applyFill="1" applyAlignment="1">
      <alignment/>
    </xf>
    <xf numFmtId="164" fontId="0" fillId="11" borderId="0" xfId="0" applyFill="1" applyAlignment="1">
      <alignment/>
    </xf>
    <xf numFmtId="167" fontId="0" fillId="10" borderId="2" xfId="0" applyNumberFormat="1" applyFill="1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7" fontId="13" fillId="12" borderId="0" xfId="0" applyNumberFormat="1" applyFont="1" applyFill="1" applyAlignment="1">
      <alignment/>
    </xf>
    <xf numFmtId="164" fontId="13" fillId="12" borderId="0" xfId="0" applyFont="1" applyFill="1" applyAlignment="1">
      <alignment/>
    </xf>
    <xf numFmtId="164" fontId="14" fillId="12" borderId="0" xfId="0" applyFont="1" applyFill="1" applyAlignment="1">
      <alignment/>
    </xf>
    <xf numFmtId="164" fontId="15" fillId="12" borderId="0" xfId="0" applyFont="1" applyFill="1" applyAlignment="1">
      <alignment/>
    </xf>
    <xf numFmtId="167" fontId="0" fillId="12" borderId="0" xfId="0" applyNumberFormat="1" applyFill="1" applyAlignment="1">
      <alignment/>
    </xf>
    <xf numFmtId="164" fontId="9" fillId="12" borderId="0" xfId="0" applyFont="1" applyFill="1" applyAlignment="1">
      <alignment/>
    </xf>
    <xf numFmtId="164" fontId="12" fillId="12" borderId="0" xfId="0" applyFont="1" applyFill="1" applyAlignment="1">
      <alignment/>
    </xf>
    <xf numFmtId="164" fontId="0" fillId="12" borderId="0" xfId="0" applyFill="1" applyAlignment="1">
      <alignment/>
    </xf>
    <xf numFmtId="169" fontId="0" fillId="12" borderId="0" xfId="0" applyNumberFormat="1" applyFill="1" applyAlignment="1">
      <alignment/>
    </xf>
    <xf numFmtId="170" fontId="0" fillId="12" borderId="0" xfId="0" applyNumberFormat="1" applyFill="1" applyAlignment="1">
      <alignment/>
    </xf>
    <xf numFmtId="171" fontId="0" fillId="12" borderId="0" xfId="0" applyNumberFormat="1" applyFill="1" applyAlignment="1">
      <alignment/>
    </xf>
    <xf numFmtId="171" fontId="0" fillId="0" borderId="0" xfId="0" applyNumberFormat="1" applyAlignment="1">
      <alignment/>
    </xf>
    <xf numFmtId="172" fontId="0" fillId="12" borderId="0" xfId="0" applyNumberForma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0EFD4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AA97"/>
      <rgbColor rgb="00CC99FF"/>
      <rgbColor rgb="00FFCCCC"/>
      <rgbColor rgb="003366FF"/>
      <rgbColor rgb="0065C295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jectrho.com/public_html/rocket/mission.php#calcHohD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H51" sqref="H51"/>
    </sheetView>
  </sheetViews>
  <sheetFormatPr defaultColWidth="10.28125" defaultRowHeight="12.75"/>
  <cols>
    <col min="1" max="1" width="12.28125" style="0" customWidth="1"/>
    <col min="2" max="2" width="27.7109375" style="1" customWidth="1"/>
    <col min="3" max="3" width="42.28125" style="2" customWidth="1"/>
    <col min="4" max="4" width="22.00390625" style="0" customWidth="1"/>
    <col min="5" max="16384" width="11.57421875" style="0" customWidth="1"/>
  </cols>
  <sheetData>
    <row r="1" spans="1:3" ht="12.75">
      <c r="A1" s="1" t="s">
        <v>0</v>
      </c>
      <c r="C1" s="2" t="s">
        <v>1</v>
      </c>
    </row>
    <row r="2" spans="1:3" ht="12.75">
      <c r="A2" s="1"/>
      <c r="C2" s="2" t="s">
        <v>2</v>
      </c>
    </row>
    <row r="3" spans="1:3" ht="12.75">
      <c r="A3" s="1"/>
      <c r="C3" s="2" t="s">
        <v>3</v>
      </c>
    </row>
    <row r="4" ht="12.75">
      <c r="C4" s="2" t="s">
        <v>4</v>
      </c>
    </row>
    <row r="6" spans="1:2" ht="12.75">
      <c r="A6">
        <f>180/PI()</f>
        <v>57.29577951308232</v>
      </c>
      <c r="B6" s="1" t="s">
        <v>5</v>
      </c>
    </row>
    <row r="7" spans="1:7" ht="12.75">
      <c r="A7" s="3">
        <v>6.674E-11</v>
      </c>
      <c r="B7" s="1" t="s">
        <v>6</v>
      </c>
      <c r="C7" s="2" t="s">
        <v>7</v>
      </c>
      <c r="F7" s="4" t="s">
        <v>8</v>
      </c>
      <c r="G7" s="4"/>
    </row>
    <row r="8" spans="1:7" ht="12.75">
      <c r="A8" s="5">
        <v>1.9885000000000003E+30</v>
      </c>
      <c r="B8" s="6" t="s">
        <v>9</v>
      </c>
      <c r="C8" s="7" t="s">
        <v>10</v>
      </c>
      <c r="D8" s="8" t="s">
        <v>11</v>
      </c>
      <c r="F8" s="9" t="s">
        <v>12</v>
      </c>
      <c r="G8" s="9" t="s">
        <v>13</v>
      </c>
    </row>
    <row r="9" spans="1:7" ht="12.75">
      <c r="A9" s="5">
        <v>149600000000</v>
      </c>
      <c r="B9" s="6" t="s">
        <v>14</v>
      </c>
      <c r="C9" s="7" t="s">
        <v>15</v>
      </c>
      <c r="D9" s="8" t="s">
        <v>16</v>
      </c>
      <c r="F9" s="10">
        <v>1</v>
      </c>
      <c r="G9" s="11">
        <f aca="true" t="shared" si="0" ref="G9:G10">F9*149600000000</f>
        <v>149600000000</v>
      </c>
    </row>
    <row r="10" spans="1:7" ht="12.75">
      <c r="A10" s="5">
        <v>228000000000</v>
      </c>
      <c r="B10" s="6" t="s">
        <v>17</v>
      </c>
      <c r="C10" s="7" t="s">
        <v>18</v>
      </c>
      <c r="D10" s="8" t="s">
        <v>19</v>
      </c>
      <c r="F10" s="10">
        <v>1.524</v>
      </c>
      <c r="G10" s="11">
        <f t="shared" si="0"/>
        <v>227990400000</v>
      </c>
    </row>
    <row r="11" spans="1:4" ht="12.75">
      <c r="A11" s="5">
        <v>5.971999999999999E+24</v>
      </c>
      <c r="B11" s="6" t="s">
        <v>20</v>
      </c>
      <c r="C11" s="7" t="s">
        <v>21</v>
      </c>
      <c r="D11" s="8" t="s">
        <v>22</v>
      </c>
    </row>
    <row r="12" spans="1:4" ht="12.75">
      <c r="A12" s="5">
        <v>6.4171E+23</v>
      </c>
      <c r="B12" s="6" t="s">
        <v>23</v>
      </c>
      <c r="C12" s="7" t="s">
        <v>24</v>
      </c>
      <c r="D12" s="8" t="s">
        <v>25</v>
      </c>
    </row>
    <row r="13" spans="1:4" ht="12.75">
      <c r="A13" s="5">
        <v>3389500</v>
      </c>
      <c r="B13" s="6" t="s">
        <v>26</v>
      </c>
      <c r="C13" s="7" t="s">
        <v>27</v>
      </c>
      <c r="D13" s="8" t="s">
        <v>28</v>
      </c>
    </row>
    <row r="14" spans="1:4" ht="12.75">
      <c r="A14" s="5">
        <v>6371000</v>
      </c>
      <c r="B14" s="6" t="s">
        <v>29</v>
      </c>
      <c r="C14" s="7" t="s">
        <v>30</v>
      </c>
      <c r="D14" s="8" t="s">
        <v>31</v>
      </c>
    </row>
    <row r="15" spans="1:4" ht="12.75">
      <c r="A15" s="12">
        <v>300000</v>
      </c>
      <c r="B15" s="6" t="s">
        <v>32</v>
      </c>
      <c r="C15" s="7" t="s">
        <v>33</v>
      </c>
      <c r="D15" s="8" t="s">
        <v>34</v>
      </c>
    </row>
    <row r="16" spans="1:4" ht="12.75">
      <c r="A16" s="12">
        <v>300000</v>
      </c>
      <c r="B16" s="6" t="s">
        <v>35</v>
      </c>
      <c r="C16" s="7" t="s">
        <v>36</v>
      </c>
      <c r="D16" s="8" t="s">
        <v>37</v>
      </c>
    </row>
    <row r="17" spans="1:3" ht="12.75">
      <c r="A17" s="3">
        <f>(A9+A10)/2</f>
        <v>188800000000</v>
      </c>
      <c r="B17" s="1" t="s">
        <v>38</v>
      </c>
      <c r="C17" s="2" t="s">
        <v>39</v>
      </c>
    </row>
    <row r="18" spans="1:3" ht="12.75">
      <c r="A18" s="13">
        <f>A8*A7</f>
        <v>1.3271249000000001E+20</v>
      </c>
      <c r="B18" s="1" t="s">
        <v>40</v>
      </c>
      <c r="C18" s="2" t="s">
        <v>41</v>
      </c>
    </row>
    <row r="19" spans="1:4" ht="12.75">
      <c r="A19" s="14">
        <f>SQRT(A18/A9)</f>
        <v>29784.4854725797</v>
      </c>
      <c r="B19" s="1" t="s">
        <v>42</v>
      </c>
      <c r="C19" s="2" t="s">
        <v>43</v>
      </c>
      <c r="D19" t="s">
        <v>44</v>
      </c>
    </row>
    <row r="20" spans="1:3" ht="12.75">
      <c r="A20" s="14">
        <f>SQRT(A18*((2/A9)-(1/A17)))</f>
        <v>32730.7932317577</v>
      </c>
      <c r="B20" s="1" t="s">
        <v>45</v>
      </c>
      <c r="C20" s="2" t="s">
        <v>46</v>
      </c>
    </row>
    <row r="21" spans="1:3" ht="12.75">
      <c r="A21" s="14">
        <f>ABS(A20-A19)</f>
        <v>2946.30775917805</v>
      </c>
      <c r="B21" s="1" t="s">
        <v>47</v>
      </c>
      <c r="C21" s="2" t="s">
        <v>48</v>
      </c>
    </row>
    <row r="22" spans="1:3" ht="12.75">
      <c r="A22" s="3">
        <f>A7*A11</f>
        <v>398571280000000</v>
      </c>
      <c r="B22" s="1" t="s">
        <v>49</v>
      </c>
      <c r="C22" s="2" t="s">
        <v>50</v>
      </c>
    </row>
    <row r="23" spans="1:3" ht="12.75">
      <c r="A23" s="3">
        <f>A13+A15</f>
        <v>3689500</v>
      </c>
      <c r="B23" s="1" t="s">
        <v>51</v>
      </c>
      <c r="C23" s="2" t="s">
        <v>52</v>
      </c>
    </row>
    <row r="24" spans="1:4" ht="12.75">
      <c r="A24" s="14">
        <f>SQRT(A22/A23)</f>
        <v>10393.677647101</v>
      </c>
      <c r="B24" s="1" t="s">
        <v>53</v>
      </c>
      <c r="C24" s="2" t="s">
        <v>54</v>
      </c>
      <c r="D24" t="s">
        <v>44</v>
      </c>
    </row>
    <row r="25" spans="1:3" ht="12.75">
      <c r="A25" s="14">
        <f>SQRT((2*A22)/A23)</f>
        <v>14698.8798914643</v>
      </c>
      <c r="B25" s="1" t="s">
        <v>55</v>
      </c>
      <c r="C25" s="2" t="s">
        <v>56</v>
      </c>
    </row>
    <row r="26" spans="1:3" ht="12.75">
      <c r="A26" s="14">
        <f>SQRT(A21^2+A25^2)</f>
        <v>14991.257434768</v>
      </c>
      <c r="B26" s="1" t="s">
        <v>57</v>
      </c>
      <c r="C26" s="2" t="s">
        <v>58</v>
      </c>
    </row>
    <row r="27" spans="1:3" ht="12.75">
      <c r="A27" s="15">
        <f>A26-A24</f>
        <v>4597.579787667</v>
      </c>
      <c r="B27" s="16" t="s">
        <v>59</v>
      </c>
      <c r="C27" s="17" t="s">
        <v>60</v>
      </c>
    </row>
    <row r="28" spans="1:4" ht="12.75">
      <c r="A28" s="18">
        <f>SQRT(A18/A10)</f>
        <v>24126.1750918251</v>
      </c>
      <c r="B28" s="16" t="s">
        <v>61</v>
      </c>
      <c r="C28" s="17" t="s">
        <v>62</v>
      </c>
      <c r="D28" t="s">
        <v>44</v>
      </c>
    </row>
    <row r="29" spans="1:3" ht="12.75">
      <c r="A29" s="18">
        <f>SQRT(A18*((2/A10)-(1/A17)))</f>
        <v>21475.9941555744</v>
      </c>
      <c r="B29" s="16" t="s">
        <v>63</v>
      </c>
      <c r="C29" s="17" t="s">
        <v>64</v>
      </c>
    </row>
    <row r="30" spans="1:3" ht="12.75">
      <c r="A30" s="18">
        <f>ABS(A29-A28)</f>
        <v>2650.18093625076</v>
      </c>
      <c r="B30" s="16" t="s">
        <v>65</v>
      </c>
      <c r="C30" s="17" t="s">
        <v>66</v>
      </c>
    </row>
    <row r="31" spans="1:3" ht="12.75">
      <c r="A31" s="19">
        <f>A7*A12</f>
        <v>42827725400000</v>
      </c>
      <c r="B31" s="16" t="s">
        <v>67</v>
      </c>
      <c r="C31" s="17" t="s">
        <v>68</v>
      </c>
    </row>
    <row r="32" spans="1:3" ht="12.75">
      <c r="A32" s="20">
        <f>A14+A16</f>
        <v>6671000</v>
      </c>
      <c r="B32" s="16" t="s">
        <v>69</v>
      </c>
      <c r="C32" s="17" t="s">
        <v>70</v>
      </c>
    </row>
    <row r="33" spans="1:4" ht="12.75">
      <c r="A33" s="18">
        <f>SQRT(A31/A32)</f>
        <v>2533.76909350823</v>
      </c>
      <c r="B33" s="16" t="s">
        <v>71</v>
      </c>
      <c r="C33" s="17" t="s">
        <v>72</v>
      </c>
      <c r="D33" t="s">
        <v>44</v>
      </c>
    </row>
    <row r="34" spans="1:3" ht="12.75">
      <c r="A34" s="18">
        <f>SQRT((2*A31)/A32)</f>
        <v>3583.29061596112</v>
      </c>
      <c r="B34" s="16" t="s">
        <v>73</v>
      </c>
      <c r="C34" s="17" t="s">
        <v>74</v>
      </c>
    </row>
    <row r="35" spans="1:3" ht="12.75">
      <c r="A35" s="18">
        <f>SQRT((A30^2+A34^2))</f>
        <v>4456.84088041092</v>
      </c>
      <c r="B35" s="16" t="s">
        <v>75</v>
      </c>
      <c r="C35" s="17" t="s">
        <v>76</v>
      </c>
    </row>
    <row r="36" spans="1:3" ht="12.75">
      <c r="A36" s="15">
        <f>A35-A33</f>
        <v>1923.07178690269</v>
      </c>
      <c r="B36" s="16" t="s">
        <v>77</v>
      </c>
      <c r="C36" s="17" t="s">
        <v>78</v>
      </c>
    </row>
    <row r="37" spans="1:7" ht="12.75">
      <c r="A37" s="21">
        <f>ABS(A27)+ABS(A36)</f>
        <v>6520.65157456969</v>
      </c>
      <c r="B37" s="22" t="s">
        <v>79</v>
      </c>
      <c r="C37" s="23" t="s">
        <v>80</v>
      </c>
      <c r="D37" s="24"/>
      <c r="E37" s="24"/>
      <c r="F37" s="24"/>
      <c r="G37" s="24"/>
    </row>
    <row r="39" spans="1:7" ht="12.75">
      <c r="A39" s="25">
        <f>0.5*SQRT((4*PI()^2*POWER(A17,3))/A18)</f>
        <v>22371595.5284486</v>
      </c>
      <c r="B39" s="26" t="s">
        <v>81</v>
      </c>
      <c r="C39" s="27" t="s">
        <v>82</v>
      </c>
      <c r="D39" s="28"/>
      <c r="E39" s="28"/>
      <c r="F39" s="28"/>
      <c r="G39" s="28"/>
    </row>
    <row r="40" spans="1:2" ht="12.75">
      <c r="A40" s="29">
        <f>A39/86400</f>
        <v>258.930503801488</v>
      </c>
      <c r="B40" s="26" t="s">
        <v>83</v>
      </c>
    </row>
    <row r="41" spans="1:2" ht="12.75">
      <c r="A41" s="29">
        <f>A39/2592000</f>
        <v>8.63101679338295</v>
      </c>
      <c r="B41" s="26" t="s">
        <v>84</v>
      </c>
    </row>
    <row r="42" spans="1:2" ht="12.75">
      <c r="A42" s="30">
        <f>A39/31536000</f>
        <v>0.7093986405520231</v>
      </c>
      <c r="B42" s="26" t="s">
        <v>85</v>
      </c>
    </row>
    <row r="44" spans="1:3" ht="12.75">
      <c r="A44" s="3">
        <f>MIN(A9,A10)</f>
        <v>149600000000</v>
      </c>
      <c r="B44" s="1" t="s">
        <v>86</v>
      </c>
      <c r="C44" s="2" t="s">
        <v>87</v>
      </c>
    </row>
    <row r="45" spans="1:3" ht="12.75">
      <c r="A45" s="3">
        <f>2*PI()*SQRT(POWER(A44,3)/A18)</f>
        <v>31558863.852774</v>
      </c>
      <c r="B45" s="1" t="s">
        <v>88</v>
      </c>
      <c r="C45" s="2" t="s">
        <v>89</v>
      </c>
    </row>
    <row r="46" spans="1:3" ht="12.75">
      <c r="A46" s="3">
        <f>MAX(A9,A10)</f>
        <v>228000000000</v>
      </c>
      <c r="B46" s="1" t="s">
        <v>90</v>
      </c>
      <c r="C46" s="2" t="s">
        <v>91</v>
      </c>
    </row>
    <row r="47" spans="1:3" ht="12.75">
      <c r="A47" s="3">
        <f>2*PI()*SQRT(POWER(A46,3)/A18)</f>
        <v>59378092.2414989</v>
      </c>
      <c r="B47" s="1" t="s">
        <v>92</v>
      </c>
      <c r="C47" s="2" t="s">
        <v>93</v>
      </c>
    </row>
    <row r="48" spans="1:7" ht="12.75">
      <c r="A48" s="25">
        <f>1/((1/A45)-(1/A47))</f>
        <v>67360068.4642428</v>
      </c>
      <c r="B48" s="26" t="s">
        <v>94</v>
      </c>
      <c r="C48" s="27" t="s">
        <v>95</v>
      </c>
      <c r="D48" s="28"/>
      <c r="E48" s="28"/>
      <c r="F48" s="28"/>
      <c r="G48" s="28"/>
    </row>
    <row r="49" spans="1:2" ht="12.75">
      <c r="A49" s="29">
        <f>A48/86400</f>
        <v>779.630422039847</v>
      </c>
      <c r="B49" s="26" t="s">
        <v>96</v>
      </c>
    </row>
    <row r="50" spans="1:2" ht="12.75">
      <c r="A50" s="29">
        <f>A48/2592000</f>
        <v>25.9876807346616</v>
      </c>
      <c r="B50" s="26" t="s">
        <v>97</v>
      </c>
    </row>
    <row r="51" spans="1:2" ht="12.75">
      <c r="A51" s="31">
        <f>A48/31536000</f>
        <v>2.13597375901328</v>
      </c>
      <c r="B51" s="26" t="s">
        <v>98</v>
      </c>
    </row>
    <row r="53" spans="1:2" ht="12.75">
      <c r="A53" s="14">
        <f>(2*PI())*SQRT(POWER(A9,3)/A18)</f>
        <v>31558863.852774</v>
      </c>
      <c r="B53" s="1" t="s">
        <v>99</v>
      </c>
    </row>
    <row r="54" spans="1:2" ht="12.75">
      <c r="A54" s="3">
        <f>360/A53</f>
        <v>1.14072547630182E-05</v>
      </c>
      <c r="B54" s="1" t="s">
        <v>100</v>
      </c>
    </row>
    <row r="55" spans="1:2" ht="12.75">
      <c r="A55" s="32">
        <f>A39*A54</f>
        <v>255.198489648213</v>
      </c>
      <c r="B55" s="1" t="s">
        <v>101</v>
      </c>
    </row>
    <row r="56" spans="1:2" ht="12.75">
      <c r="A56" s="14">
        <f>(2*PI())*SQRT(POWER(A10,3)/A18)</f>
        <v>59378092.2414989</v>
      </c>
      <c r="B56" s="1" t="s">
        <v>102</v>
      </c>
    </row>
    <row r="57" spans="1:2" ht="12.75">
      <c r="A57" s="3">
        <f>360/A56</f>
        <v>6.0628421427860995E-06</v>
      </c>
      <c r="B57" s="1" t="s">
        <v>103</v>
      </c>
    </row>
    <row r="58" spans="1:2" ht="12.75">
      <c r="A58" s="3">
        <f>PI()*(1-((1/(2*SQRT(2)))*SQRT(POWER((A9/A10+1),3))))</f>
        <v>0.7743074307703071</v>
      </c>
      <c r="B58" s="1" t="s">
        <v>104</v>
      </c>
    </row>
    <row r="59" spans="1:3" ht="12.75">
      <c r="A59" s="32">
        <f>A58*A6</f>
        <v>44.3645478287568</v>
      </c>
      <c r="B59" s="1" t="s">
        <v>105</v>
      </c>
      <c r="C59" s="2" t="s">
        <v>106</v>
      </c>
    </row>
    <row r="60" spans="1:2" ht="12.75">
      <c r="A60" s="3">
        <f>PI()*(1-((1/(2*SQRT(2)))*SQRT(POWER((A10/A9+1),3))))</f>
        <v>-1.31246123688819</v>
      </c>
      <c r="B60" s="1" t="s">
        <v>107</v>
      </c>
    </row>
    <row r="61" spans="1:3" ht="12.75">
      <c r="A61" s="32">
        <f>A60*A6</f>
        <v>-75.1984896482128</v>
      </c>
      <c r="B61" s="1" t="s">
        <v>108</v>
      </c>
      <c r="C61" s="2" t="s">
        <v>106</v>
      </c>
    </row>
    <row r="62" spans="1:7" ht="12.75">
      <c r="A62" s="25">
        <f>((360-(2*ABS(A61)))/360)*A48</f>
        <v>39219093.958069</v>
      </c>
      <c r="B62" s="26" t="s">
        <v>109</v>
      </c>
      <c r="C62" s="27" t="s">
        <v>110</v>
      </c>
      <c r="D62" s="28"/>
      <c r="E62" s="28"/>
      <c r="F62" s="28"/>
      <c r="G62" s="28"/>
    </row>
    <row r="63" spans="1:2" ht="12.75">
      <c r="A63" s="29">
        <f>A62/86400</f>
        <v>453.924698588762</v>
      </c>
      <c r="B63" s="26" t="s">
        <v>111</v>
      </c>
    </row>
    <row r="64" spans="1:2" ht="12.75">
      <c r="A64" s="33">
        <f>A62/2592000</f>
        <v>15.1308232862921</v>
      </c>
      <c r="B64" s="26" t="s">
        <v>112</v>
      </c>
    </row>
    <row r="65" spans="1:2" ht="12.75">
      <c r="A65" s="31">
        <f>A62/31536000</f>
        <v>1.24362931120209</v>
      </c>
      <c r="B65" s="26" t="s">
        <v>113</v>
      </c>
    </row>
  </sheetData>
  <sheetProtection selectLockedCells="1" selectUnlockedCells="1"/>
  <hyperlinks>
    <hyperlink ref="C3" r:id="rId1" display="http://www.projectrho.com/public_html/rocket/mission.php#calcHohDV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2019-01-27T19:40:26Z</dcterms:created>
  <dcterms:modified xsi:type="dcterms:W3CDTF">2019-01-29T17:47:53Z</dcterms:modified>
  <cp:category/>
  <cp:version/>
  <cp:contentType/>
  <cp:contentStatus/>
  <cp:revision>26</cp:revision>
</cp:coreProperties>
</file>